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www/etoyoc/sites/sublight/content/3f3119be-a6e8-4ba3-9afa-8a8e09e26e07/"/>
    </mc:Choice>
  </mc:AlternateContent>
  <xr:revisionPtr revIDLastSave="0" documentId="13_ncr:1_{98C1B12B-F303-DA42-B3F3-89FCC095BF03}" xr6:coauthVersionLast="36" xr6:coauthVersionMax="36" xr10:uidLastSave="{00000000-0000-0000-0000-000000000000}"/>
  <bookViews>
    <workbookView xWindow="720" yWindow="1260" windowWidth="23000" windowHeight="16440" xr2:uid="{C5C5FF5A-7655-834A-B11B-272060538216}"/>
  </bookViews>
  <sheets>
    <sheet name="design" sheetId="3" r:id="rId1"/>
    <sheet name="structure" sheetId="5" r:id="rId2"/>
    <sheet name="accomodation" sheetId="4" r:id="rId3"/>
    <sheet name="performance" sheetId="1" r:id="rId4"/>
    <sheet name="constants" sheetId="2" r:id="rId5"/>
    <sheet name="deltav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D30" i="1" l="1"/>
  <c r="K2" i="3" l="1"/>
  <c r="I2" i="3"/>
  <c r="F43" i="1"/>
  <c r="F41" i="1"/>
  <c r="C23" i="4"/>
  <c r="C4" i="4"/>
  <c r="F44" i="1"/>
  <c r="F42" i="1"/>
  <c r="H42" i="1"/>
  <c r="F39" i="1"/>
  <c r="F38" i="1"/>
  <c r="H38" i="1" s="1"/>
  <c r="F37" i="1"/>
  <c r="H37" i="1" s="1"/>
  <c r="C5" i="3"/>
  <c r="C6" i="1"/>
  <c r="F35" i="1" l="1"/>
  <c r="H44" i="1"/>
  <c r="H43" i="1"/>
  <c r="C45" i="2" l="1"/>
  <c r="C43" i="2"/>
  <c r="B4" i="5"/>
  <c r="C4" i="5" s="1"/>
  <c r="C41" i="2"/>
  <c r="C40" i="2"/>
  <c r="C4" i="3" l="1"/>
  <c r="E5" i="3" s="1"/>
  <c r="E7" i="3" s="1"/>
  <c r="C13" i="3" l="1"/>
  <c r="C38" i="2"/>
  <c r="E9" i="1"/>
  <c r="K18" i="3"/>
  <c r="K19" i="3"/>
  <c r="K25" i="3"/>
  <c r="C9" i="1" l="1"/>
  <c r="C4" i="1" s="1"/>
  <c r="E11" i="5"/>
  <c r="C10" i="1" l="1"/>
  <c r="B12" i="5"/>
  <c r="B8" i="5"/>
  <c r="F23" i="3"/>
  <c r="C9" i="4"/>
  <c r="B7" i="5"/>
  <c r="E35" i="2"/>
  <c r="B14" i="5"/>
  <c r="B17" i="5"/>
  <c r="B18" i="5"/>
  <c r="B19" i="5"/>
  <c r="B20" i="5"/>
  <c r="B21" i="5"/>
  <c r="B16" i="5"/>
  <c r="C28" i="2"/>
  <c r="B3" i="5" l="1"/>
  <c r="F17" i="3" s="1"/>
  <c r="B9" i="5"/>
  <c r="D16" i="5" s="1"/>
  <c r="C28" i="5"/>
  <c r="C11" i="5"/>
  <c r="C12" i="5" s="1"/>
  <c r="C13" i="5" s="1"/>
  <c r="B13" i="5" s="1"/>
  <c r="D20" i="5" l="1"/>
  <c r="C3" i="5"/>
  <c r="B17" i="3" s="1"/>
  <c r="C20" i="5"/>
  <c r="D18" i="5"/>
  <c r="D21" i="5"/>
  <c r="D17" i="5"/>
  <c r="C21" i="5"/>
  <c r="C18" i="5"/>
  <c r="C16" i="5"/>
  <c r="D19" i="5"/>
  <c r="C10" i="5"/>
  <c r="C19" i="5"/>
  <c r="C17" i="5"/>
  <c r="K17" i="3" l="1"/>
  <c r="D15" i="3"/>
  <c r="D17" i="3"/>
  <c r="E6" i="1"/>
  <c r="C7" i="1" l="1"/>
  <c r="C5" i="2" l="1"/>
  <c r="C6" i="2"/>
  <c r="C4" i="2"/>
  <c r="C23" i="2" l="1"/>
  <c r="C29" i="2" l="1"/>
  <c r="C22" i="2"/>
  <c r="C21" i="2"/>
  <c r="H24" i="3" l="1"/>
  <c r="K24" i="3" s="1"/>
  <c r="C17" i="2" l="1"/>
  <c r="C14" i="2" l="1"/>
  <c r="E3" i="2"/>
  <c r="C3" i="2" s="1"/>
  <c r="H22" i="3" l="1"/>
  <c r="K22" i="3" s="1"/>
  <c r="C10" i="4" l="1"/>
  <c r="C8" i="4"/>
  <c r="C20" i="4" l="1"/>
  <c r="C19" i="4" l="1"/>
  <c r="C15" i="4"/>
  <c r="F20" i="3"/>
  <c r="C13" i="4"/>
  <c r="C11" i="4"/>
  <c r="G20" i="1" s="1"/>
  <c r="C14" i="1" s="1"/>
  <c r="E8" i="4"/>
  <c r="F14" i="1" l="1"/>
  <c r="C16" i="1"/>
  <c r="H23" i="3" s="1"/>
  <c r="E14" i="1"/>
  <c r="H20" i="3"/>
  <c r="C17" i="4"/>
  <c r="C24" i="4" s="1"/>
  <c r="B20" i="3" s="1"/>
  <c r="K20" i="3" s="1"/>
  <c r="D10" i="3"/>
  <c r="B10" i="3"/>
  <c r="G16" i="1" l="1"/>
  <c r="C23" i="1"/>
  <c r="B16" i="3"/>
  <c r="E13" i="4"/>
  <c r="E20" i="1" l="1"/>
  <c r="C20" i="1" s="1"/>
  <c r="K23" i="3"/>
  <c r="C26" i="5"/>
  <c r="C22" i="1" l="1"/>
  <c r="C25" i="5" s="1"/>
  <c r="C17" i="1"/>
  <c r="C18" i="1" s="1"/>
  <c r="E9" i="4" l="1"/>
  <c r="C27" i="1" l="1"/>
  <c r="C29" i="5" l="1"/>
  <c r="F19" i="3" l="1"/>
  <c r="C33" i="1"/>
  <c r="F18" i="3"/>
  <c r="F16" i="3" l="1"/>
  <c r="H21" i="3" s="1"/>
  <c r="K21" i="3" s="1"/>
  <c r="K16" i="3" s="1"/>
  <c r="H16" i="3" l="1"/>
  <c r="C3" i="3" s="1"/>
  <c r="C30" i="5" s="1"/>
  <c r="C26" i="1" l="1"/>
  <c r="C28" i="1" s="1"/>
  <c r="C44" i="1" s="1"/>
  <c r="E3" i="3"/>
  <c r="E2" i="3" s="1"/>
  <c r="C33" i="5"/>
  <c r="C34" i="5" s="1"/>
  <c r="C31" i="5"/>
  <c r="C32" i="5" s="1"/>
  <c r="E32" i="5" s="1"/>
  <c r="E4" i="3" l="1"/>
  <c r="G2" i="3"/>
  <c r="C11" i="1"/>
  <c r="E6" i="3"/>
  <c r="C39" i="1"/>
  <c r="B39" i="1" s="1"/>
  <c r="K39" i="1" l="1"/>
  <c r="C38" i="1"/>
  <c r="J39" i="1"/>
  <c r="N39" i="1" s="1"/>
  <c r="K44" i="1"/>
  <c r="B44" i="1"/>
  <c r="C37" i="1"/>
  <c r="B37" i="1" s="1"/>
  <c r="B38" i="1"/>
  <c r="J38" i="1" s="1"/>
  <c r="H39" i="1"/>
  <c r="C43" i="1" l="1"/>
  <c r="B43" i="1" s="1"/>
  <c r="J43" i="1" s="1"/>
  <c r="J44" i="1"/>
  <c r="N44" i="1" s="1"/>
  <c r="G37" i="1"/>
  <c r="J37" i="1"/>
  <c r="G44" i="1"/>
  <c r="K38" i="1"/>
  <c r="G39" i="1"/>
  <c r="K43" i="1" l="1"/>
  <c r="G43" i="1"/>
  <c r="C42" i="1"/>
  <c r="B42" i="1" s="1"/>
  <c r="J42" i="1" s="1"/>
  <c r="G38" i="1"/>
  <c r="K37" i="1"/>
  <c r="K42" i="1" l="1"/>
  <c r="G42" i="1"/>
  <c r="G4" i="3"/>
  <c r="C5" i="1"/>
  <c r="E5" i="1" s="1"/>
  <c r="G19" i="1" l="1"/>
  <c r="E19" i="1" s="1"/>
  <c r="C19" i="1" s="1"/>
  <c r="E42" i="1" l="1"/>
  <c r="D42" i="1" s="1"/>
  <c r="L42" i="1" s="1"/>
  <c r="O42" i="1" s="1"/>
  <c r="E44" i="1"/>
  <c r="D44" i="1" s="1"/>
  <c r="L44" i="1" s="1"/>
  <c r="O44" i="1" s="1"/>
  <c r="E38" i="1"/>
  <c r="D38" i="1" s="1"/>
  <c r="L38" i="1" s="1"/>
  <c r="O38" i="1" s="1"/>
  <c r="E39" i="1"/>
  <c r="D39" i="1" s="1"/>
  <c r="L39" i="1" s="1"/>
  <c r="O39" i="1" s="1"/>
  <c r="E43" i="1"/>
  <c r="D43" i="1" s="1"/>
  <c r="L43" i="1" s="1"/>
  <c r="O43" i="1" s="1"/>
  <c r="E37" i="1"/>
  <c r="C31" i="1" l="1"/>
  <c r="D19" i="3" s="1"/>
  <c r="D37" i="1"/>
  <c r="L37" i="1" l="1"/>
  <c r="C30" i="1"/>
  <c r="E30" i="1" s="1"/>
  <c r="B33" i="1"/>
  <c r="L35" i="1" l="1"/>
  <c r="O37" i="1"/>
</calcChain>
</file>

<file path=xl/sharedStrings.xml><?xml version="1.0" encoding="utf-8"?>
<sst xmlns="http://schemas.openxmlformats.org/spreadsheetml/2006/main" count="341" uniqueCount="213">
  <si>
    <t>kg/m^3</t>
  </si>
  <si>
    <t>Kg/m^2 manned space</t>
  </si>
  <si>
    <t>long ton/ft^3</t>
  </si>
  <si>
    <t>Radition Shielding</t>
  </si>
  <si>
    <t>kg/m^2</t>
  </si>
  <si>
    <t>AU</t>
  </si>
  <si>
    <t>m</t>
  </si>
  <si>
    <t>gvm</t>
  </si>
  <si>
    <t>kg</t>
  </si>
  <si>
    <t>Voyage</t>
  </si>
  <si>
    <t>Propellent</t>
  </si>
  <si>
    <t>Performance</t>
  </si>
  <si>
    <t>mdot</t>
  </si>
  <si>
    <t>kg/s</t>
  </si>
  <si>
    <t>1400 MJ/kg</t>
  </si>
  <si>
    <t>https://en.wikipedia.org/wiki/Specific_impulse</t>
  </si>
  <si>
    <t>ve</t>
  </si>
  <si>
    <t>iSP</t>
  </si>
  <si>
    <t>s</t>
  </si>
  <si>
    <t>Impulse</t>
  </si>
  <si>
    <t>N</t>
  </si>
  <si>
    <t>m/s/s</t>
  </si>
  <si>
    <t>Fusion Fuel Usage</t>
  </si>
  <si>
    <t>Fuel Mass Fac</t>
  </si>
  <si>
    <t>kg/kwh</t>
  </si>
  <si>
    <t>Engines</t>
  </si>
  <si>
    <t>kg/day</t>
  </si>
  <si>
    <t>kwh</t>
  </si>
  <si>
    <t>Habitat</t>
  </si>
  <si>
    <t>Structure</t>
  </si>
  <si>
    <t>m^2</t>
  </si>
  <si>
    <t>Volume</t>
  </si>
  <si>
    <t>Dry Mass</t>
  </si>
  <si>
    <t>days</t>
  </si>
  <si>
    <t>souls</t>
  </si>
  <si>
    <t>Fuel Capacity</t>
  </si>
  <si>
    <t>hours</t>
  </si>
  <si>
    <t>m/s</t>
  </si>
  <si>
    <t>au/day</t>
  </si>
  <si>
    <t>Fuel</t>
  </si>
  <si>
    <t>au</t>
  </si>
  <si>
    <t>Mission Duration</t>
  </si>
  <si>
    <t>Food</t>
  </si>
  <si>
    <t>tons</t>
  </si>
  <si>
    <t>Engine mass</t>
  </si>
  <si>
    <t>w/kg</t>
  </si>
  <si>
    <t>Reactor</t>
  </si>
  <si>
    <t>Reactor Mass</t>
  </si>
  <si>
    <t>m^3</t>
  </si>
  <si>
    <t>Height</t>
  </si>
  <si>
    <t>volume</t>
  </si>
  <si>
    <t>Nimitz Carrier</t>
  </si>
  <si>
    <t>Mass</t>
  </si>
  <si>
    <t>Saturn v</t>
  </si>
  <si>
    <t>Crew</t>
  </si>
  <si>
    <t>All</t>
  </si>
  <si>
    <t>Area</t>
  </si>
  <si>
    <t>Water</t>
  </si>
  <si>
    <t>deltav</t>
  </si>
  <si>
    <t>Cruise Ship</t>
  </si>
  <si>
    <t>Cargo Density</t>
  </si>
  <si>
    <t>tons/person</t>
  </si>
  <si>
    <t>Meals Per Chef</t>
  </si>
  <si>
    <t>https://www.stripes.com/news/what-does-it-take-to-feed-an-aircraft-carrier-on-a-combat-mission-about-17-300-meals-1.527749</t>
  </si>
  <si>
    <t>Meal Mass</t>
  </si>
  <si>
    <t>kg/meal</t>
  </si>
  <si>
    <t>Personal Effects</t>
  </si>
  <si>
    <t>Total</t>
  </si>
  <si>
    <t>Vessel</t>
  </si>
  <si>
    <t>m^2/person</t>
  </si>
  <si>
    <t>ton/person</t>
  </si>
  <si>
    <t>Radius</t>
  </si>
  <si>
    <t>Payload</t>
  </si>
  <si>
    <t>actual</t>
  </si>
  <si>
    <t>Bulk Cargo</t>
  </si>
  <si>
    <t>Mass Budget</t>
  </si>
  <si>
    <t>Mission Profile</t>
  </si>
  <si>
    <t>Endurance</t>
  </si>
  <si>
    <t>Range</t>
  </si>
  <si>
    <t>Overall</t>
  </si>
  <si>
    <t>nuclear plasma</t>
  </si>
  <si>
    <t>Power Usage</t>
  </si>
  <si>
    <t>Power Requirements</t>
  </si>
  <si>
    <t>kwh/person/day</t>
  </si>
  <si>
    <t>kwh/day</t>
  </si>
  <si>
    <t>Peak Output</t>
  </si>
  <si>
    <t>w</t>
  </si>
  <si>
    <t>Efficiency</t>
  </si>
  <si>
    <t>Rector Volume</t>
  </si>
  <si>
    <t>Reactor Radius</t>
  </si>
  <si>
    <t>Based on international space station</t>
  </si>
  <si>
    <t>Radiator</t>
  </si>
  <si>
    <t>Energy Dissapation</t>
  </si>
  <si>
    <t>w/m^2</t>
  </si>
  <si>
    <t>Electrical Efficiency</t>
  </si>
  <si>
    <t>watt</t>
  </si>
  <si>
    <t>Surface area</t>
  </si>
  <si>
    <t>Thermal Heat (peak)</t>
  </si>
  <si>
    <t>Thermal Heat (coast)</t>
  </si>
  <si>
    <t>Thermal Management</t>
  </si>
  <si>
    <t>Engines Running</t>
  </si>
  <si>
    <t>Coasting</t>
  </si>
  <si>
    <t>radiated watts</t>
  </si>
  <si>
    <t>density</t>
  </si>
  <si>
    <t>Ice</t>
  </si>
  <si>
    <t>Enthalpy of react mass</t>
  </si>
  <si>
    <t>enthalpy of fusion</t>
  </si>
  <si>
    <t>J/kg</t>
  </si>
  <si>
    <t>enthalpy</t>
  </si>
  <si>
    <t>seconds</t>
  </si>
  <si>
    <t>Time to melt</t>
  </si>
  <si>
    <t>Temperature rise water</t>
  </si>
  <si>
    <t>dec c / second</t>
  </si>
  <si>
    <t>Full engine thrust</t>
  </si>
  <si>
    <t>Gyros</t>
  </si>
  <si>
    <t>Meals/day</t>
  </si>
  <si>
    <t>Life Support Equipment</t>
  </si>
  <si>
    <t>kg/person</t>
  </si>
  <si>
    <t>(Emergency)</t>
  </si>
  <si>
    <t>Voyage Stages</t>
  </si>
  <si>
    <t>reaction mass</t>
  </si>
  <si>
    <t>Internal Reaction Tank</t>
  </si>
  <si>
    <t>steel ship</t>
  </si>
  <si>
    <t>cryogenic fuel tank</t>
  </si>
  <si>
    <t>ice tank</t>
  </si>
  <si>
    <t>Based on Space Shuttle main tank</t>
  </si>
  <si>
    <t>solid propellant</t>
  </si>
  <si>
    <t>Ammonium Percolate</t>
  </si>
  <si>
    <t>Max Deltav</t>
  </si>
  <si>
    <t>dry mass</t>
  </si>
  <si>
    <t>payload</t>
  </si>
  <si>
    <t>External Tanks</t>
  </si>
  <si>
    <t>Stage</t>
  </si>
  <si>
    <t>m0</t>
  </si>
  <si>
    <t>mf</t>
  </si>
  <si>
    <t>stages</t>
  </si>
  <si>
    <t>Empty Mass</t>
  </si>
  <si>
    <t>propellant</t>
  </si>
  <si>
    <t>kg/kg</t>
  </si>
  <si>
    <t>wat/kg</t>
  </si>
  <si>
    <t>kwh/kg</t>
  </si>
  <si>
    <t>Lithium Deutride is exploded in volumes of propellent to produce thrust</t>
  </si>
  <si>
    <t>Max G</t>
  </si>
  <si>
    <t>total Propellent</t>
  </si>
  <si>
    <t>total fuel</t>
  </si>
  <si>
    <t>Accomdation</t>
  </si>
  <si>
    <t>Total Propellant</t>
  </si>
  <si>
    <t>Hexagon</t>
  </si>
  <si>
    <t>Vertex</t>
  </si>
  <si>
    <t>Theta</t>
  </si>
  <si>
    <t>x</t>
  </si>
  <si>
    <t>y</t>
  </si>
  <si>
    <t>Scale</t>
  </si>
  <si>
    <t>Thickness</t>
  </si>
  <si>
    <t>Yield Strength</t>
  </si>
  <si>
    <t>Steel (Maraging)</t>
  </si>
  <si>
    <t>Mpa</t>
  </si>
  <si>
    <t>Pa</t>
  </si>
  <si>
    <t>yield</t>
  </si>
  <si>
    <t>Shell</t>
  </si>
  <si>
    <t>Passenger</t>
  </si>
  <si>
    <t>Earth Escape Velocity</t>
  </si>
  <si>
    <t>km/h</t>
  </si>
  <si>
    <t>m/2</t>
  </si>
  <si>
    <t>Cargo Pods</t>
  </si>
  <si>
    <t>Fuel Pods</t>
  </si>
  <si>
    <t>ton</t>
  </si>
  <si>
    <t>Occupants</t>
  </si>
  <si>
    <t>Humans</t>
  </si>
  <si>
    <t>kg / person</t>
  </si>
  <si>
    <t>Max Range</t>
  </si>
  <si>
    <t>Boeing 737-400</t>
  </si>
  <si>
    <t>max takeoff</t>
  </si>
  <si>
    <t>EEV</t>
  </si>
  <si>
    <t>Max Accel</t>
  </si>
  <si>
    <t>g</t>
  </si>
  <si>
    <t>Accomodation</t>
  </si>
  <si>
    <t>multi-day voyage</t>
  </si>
  <si>
    <t>m^3/person</t>
  </si>
  <si>
    <t>passenger</t>
  </si>
  <si>
    <t>Lithium Deuteride</t>
  </si>
  <si>
    <t>Density</t>
  </si>
  <si>
    <t>Molecular Weight</t>
  </si>
  <si>
    <t>g/mol</t>
  </si>
  <si>
    <t>Fuel Pellets</t>
  </si>
  <si>
    <t>To -&gt;</t>
  </si>
  <si>
    <t>LEO-KEN</t>
  </si>
  <si>
    <t>LEO-EQ</t>
  </si>
  <si>
    <t>GEO</t>
  </si>
  <si>
    <t>EML-1</t>
  </si>
  <si>
    <t>EML-2</t>
  </si>
  <si>
    <t>EML-4</t>
  </si>
  <si>
    <t>EML-5</t>
  </si>
  <si>
    <t>LLO</t>
  </si>
  <si>
    <t>Luna</t>
  </si>
  <si>
    <t>FROM</t>
  </si>
  <si>
    <t>Earth</t>
  </si>
  <si>
    <t>LEO 28.5 lat</t>
  </si>
  <si>
    <t>LEO 0 Lat</t>
  </si>
  <si>
    <t>Lagrange Point 1</t>
  </si>
  <si>
    <t>Lagrangian point 2</t>
  </si>
  <si>
    <t>Lagrangian point 4</t>
  </si>
  <si>
    <t>Lagrangian point 5</t>
  </si>
  <si>
    <t>Low Lunar Orbit</t>
  </si>
  <si>
    <t>747's</t>
  </si>
  <si>
    <t>LEO</t>
  </si>
  <si>
    <t>Launch from Earth's Equator to Luna Surface</t>
  </si>
  <si>
    <t>Launch from Luna Surface to Earth's Equator</t>
  </si>
  <si>
    <t>Burn Time</t>
  </si>
  <si>
    <t>Travel Time</t>
  </si>
  <si>
    <t>Burn Distance (km)</t>
  </si>
  <si>
    <t>Travel Distance</t>
  </si>
  <si>
    <t>Boeing 747-400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</si>
</sst>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E+00"/>
    <numFmt numFmtId="166" formatCode="0.000"/>
    <numFmt numFmtId="167" formatCode="0.000E+00"/>
    <numFmt numFmtId="168" formatCode="0.0000"/>
    <numFmt numFmtId="169" formatCode="0.0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212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1"/>
    <xf numFmtId="2" fontId="2" fillId="0" borderId="0" xfId="0" applyNumberFormat="1" applyFont="1"/>
    <xf numFmtId="11" fontId="3" fillId="0" borderId="0" xfId="0" applyNumberFormat="1" applyFont="1"/>
    <xf numFmtId="1" fontId="0" fillId="0" borderId="0" xfId="0" applyNumberFormat="1"/>
    <xf numFmtId="11" fontId="0" fillId="3" borderId="0" xfId="0" applyNumberFormat="1" applyFill="1"/>
    <xf numFmtId="166" fontId="0" fillId="0" borderId="0" xfId="0" applyNumberFormat="1"/>
    <xf numFmtId="0" fontId="0" fillId="3" borderId="0" xfId="0" applyFill="1"/>
    <xf numFmtId="167" fontId="0" fillId="2" borderId="0" xfId="0" applyNumberFormat="1" applyFill="1"/>
    <xf numFmtId="2" fontId="0" fillId="2" borderId="0" xfId="0" applyNumberFormat="1" applyFill="1"/>
    <xf numFmtId="168" fontId="0" fillId="2" borderId="0" xfId="0" applyNumberFormat="1" applyFill="1"/>
    <xf numFmtId="0" fontId="2" fillId="0" borderId="0" xfId="0" applyFont="1"/>
    <xf numFmtId="11" fontId="2" fillId="0" borderId="0" xfId="0" applyNumberFormat="1" applyFont="1"/>
    <xf numFmtId="0" fontId="2" fillId="2" borderId="0" xfId="0" applyFont="1" applyFill="1"/>
    <xf numFmtId="2" fontId="0" fillId="5" borderId="0" xfId="0" applyNumberFormat="1" applyFill="1"/>
    <xf numFmtId="165" fontId="0" fillId="4" borderId="0" xfId="0" applyNumberFormat="1" applyFill="1"/>
    <xf numFmtId="165" fontId="0" fillId="2" borderId="0" xfId="0" applyNumberFormat="1" applyFill="1"/>
    <xf numFmtId="2" fontId="2" fillId="2" borderId="0" xfId="0" applyNumberFormat="1" applyFont="1" applyFill="1"/>
    <xf numFmtId="169" fontId="0" fillId="0" borderId="0" xfId="0" applyNumberFormat="1"/>
    <xf numFmtId="2" fontId="0" fillId="4" borderId="0" xfId="0" applyNumberFormat="1" applyFill="1"/>
    <xf numFmtId="0" fontId="0" fillId="0" borderId="0" xfId="0" applyNumberFormat="1"/>
    <xf numFmtId="167" fontId="0" fillId="0" borderId="0" xfId="0" applyNumberFormat="1"/>
    <xf numFmtId="1" fontId="2" fillId="5" borderId="0" xfId="0" applyNumberFormat="1" applyFont="1" applyFill="1"/>
    <xf numFmtId="2" fontId="2" fillId="5" borderId="0" xfId="0" applyNumberFormat="1" applyFont="1" applyFill="1"/>
    <xf numFmtId="164" fontId="0" fillId="3" borderId="0" xfId="0" applyNumberFormat="1" applyFill="1"/>
    <xf numFmtId="0" fontId="5" fillId="0" borderId="0" xfId="0" applyFont="1"/>
    <xf numFmtId="165" fontId="2" fillId="4" borderId="0" xfId="0" applyNumberFormat="1" applyFont="1" applyFill="1"/>
    <xf numFmtId="9" fontId="0" fillId="0" borderId="0" xfId="2" applyFont="1"/>
    <xf numFmtId="164" fontId="0" fillId="5" borderId="0" xfId="0" applyNumberForma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ripes.com/news/what-does-it-take-to-feed-an-aircraft-carrier-on-a-combat-mission-about-17-300-meals-1.52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C3E-8F18-CE42-BC80-3608AE2005FD}">
  <dimension ref="A1:L26"/>
  <sheetViews>
    <sheetView tabSelected="1" workbookViewId="0">
      <selection activeCell="E6" sqref="E6"/>
    </sheetView>
  </sheetViews>
  <sheetFormatPr baseColWidth="10" defaultRowHeight="16" x14ac:dyDescent="0.2"/>
  <cols>
    <col min="1" max="1" width="19.6640625" bestFit="1" customWidth="1"/>
    <col min="2" max="2" width="18" bestFit="1" customWidth="1"/>
    <col min="3" max="3" width="15.6640625" bestFit="1" customWidth="1"/>
    <col min="5" max="5" width="12.1640625" bestFit="1" customWidth="1"/>
  </cols>
  <sheetData>
    <row r="1" spans="1:12" x14ac:dyDescent="0.2">
      <c r="A1" t="s">
        <v>79</v>
      </c>
    </row>
    <row r="2" spans="1:12" x14ac:dyDescent="0.2">
      <c r="B2" t="s">
        <v>7</v>
      </c>
      <c r="C2" s="21">
        <v>222000</v>
      </c>
      <c r="D2" t="s">
        <v>8</v>
      </c>
      <c r="E2" s="20">
        <f>EXP(C5/performance!$C$6)*E3</f>
        <v>221635.25270926952</v>
      </c>
      <c r="F2" t="s">
        <v>73</v>
      </c>
      <c r="G2" s="33">
        <f>E2/1000</f>
        <v>221.63525270926954</v>
      </c>
      <c r="H2" t="s">
        <v>43</v>
      </c>
      <c r="I2" s="4">
        <f>$C$2/constants!$C$13</f>
        <v>0.55934893799289476</v>
      </c>
      <c r="J2" t="s">
        <v>204</v>
      </c>
      <c r="K2" s="4">
        <f>$C$2/constants!$C$12</f>
        <v>3.5238095238095237</v>
      </c>
      <c r="L2">
        <v>737</v>
      </c>
    </row>
    <row r="3" spans="1:12" x14ac:dyDescent="0.2">
      <c r="B3" t="s">
        <v>32</v>
      </c>
      <c r="C3" s="21">
        <f>B16+H16</f>
        <v>169954.88591209601</v>
      </c>
      <c r="D3" t="s">
        <v>8</v>
      </c>
      <c r="E3" s="20">
        <f>B16+H16</f>
        <v>169954.88591209601</v>
      </c>
      <c r="G3" s="33">
        <f>E3/1000</f>
        <v>169.95488591209602</v>
      </c>
      <c r="I3" s="4"/>
    </row>
    <row r="4" spans="1:12" x14ac:dyDescent="0.2">
      <c r="B4" t="s">
        <v>120</v>
      </c>
      <c r="C4" s="13">
        <f>structure!C4</f>
        <v>66791.535054121574</v>
      </c>
      <c r="D4" t="s">
        <v>8</v>
      </c>
      <c r="E4" s="31">
        <f>E2-E3</f>
        <v>51680.366797173512</v>
      </c>
      <c r="F4" t="s">
        <v>73</v>
      </c>
      <c r="G4" s="33">
        <f>E4/1000</f>
        <v>51.680366797173512</v>
      </c>
      <c r="H4" t="s">
        <v>43</v>
      </c>
      <c r="I4" s="32"/>
    </row>
    <row r="5" spans="1:12" x14ac:dyDescent="0.2">
      <c r="B5" s="9" t="s">
        <v>128</v>
      </c>
      <c r="C5">
        <f>(deltav!D3+deltav!K5)*1000</f>
        <v>15930</v>
      </c>
      <c r="E5" s="27">
        <f>performance!$C$6*LN((C2+C4)/C2)</f>
        <v>15781.66283774379</v>
      </c>
      <c r="F5" s="16" t="s">
        <v>37</v>
      </c>
      <c r="G5">
        <v>4.5573364874807124E-3</v>
      </c>
      <c r="H5" s="17" t="s">
        <v>38</v>
      </c>
    </row>
    <row r="6" spans="1:12" x14ac:dyDescent="0.2">
      <c r="B6" s="9" t="s">
        <v>174</v>
      </c>
      <c r="E6" s="28">
        <f>(performance!$C$4*performance!$C$6)/(E2-C4)/9.8</f>
        <v>1.4337036294518297</v>
      </c>
      <c r="F6" s="16" t="s">
        <v>175</v>
      </c>
      <c r="G6" s="18"/>
      <c r="H6" s="17"/>
    </row>
    <row r="7" spans="1:12" x14ac:dyDescent="0.2">
      <c r="B7" s="9" t="s">
        <v>170</v>
      </c>
      <c r="E7" s="22">
        <f>G5*C12</f>
        <v>3.1901355412364989E-2</v>
      </c>
      <c r="F7" s="16" t="s">
        <v>40</v>
      </c>
    </row>
    <row r="8" spans="1:12" x14ac:dyDescent="0.2">
      <c r="C8" s="19"/>
      <c r="D8" s="4"/>
    </row>
    <row r="9" spans="1:12" x14ac:dyDescent="0.2">
      <c r="F9" s="17"/>
    </row>
    <row r="10" spans="1:12" x14ac:dyDescent="0.2">
      <c r="A10" t="s">
        <v>55</v>
      </c>
      <c r="B10" s="9">
        <f>accomodation!C4</f>
        <v>49</v>
      </c>
      <c r="C10" t="s">
        <v>34</v>
      </c>
      <c r="D10" s="9">
        <f>accomodation!E4</f>
        <v>0</v>
      </c>
      <c r="E10" t="s">
        <v>118</v>
      </c>
    </row>
    <row r="11" spans="1:12" x14ac:dyDescent="0.2">
      <c r="A11" t="s">
        <v>76</v>
      </c>
      <c r="H11" s="3"/>
    </row>
    <row r="12" spans="1:12" x14ac:dyDescent="0.2">
      <c r="B12" t="s">
        <v>77</v>
      </c>
      <c r="C12">
        <v>7</v>
      </c>
      <c r="D12" t="s">
        <v>33</v>
      </c>
      <c r="G12" s="4"/>
    </row>
    <row r="13" spans="1:12" x14ac:dyDescent="0.2">
      <c r="B13" t="s">
        <v>78</v>
      </c>
      <c r="C13">
        <f>G5*C12</f>
        <v>3.1901355412364989E-2</v>
      </c>
      <c r="D13" t="s">
        <v>40</v>
      </c>
      <c r="G13" s="4"/>
    </row>
    <row r="14" spans="1:12" x14ac:dyDescent="0.2">
      <c r="A14" t="s">
        <v>75</v>
      </c>
      <c r="H14" s="3"/>
    </row>
    <row r="15" spans="1:12" x14ac:dyDescent="0.2">
      <c r="B15" t="s">
        <v>72</v>
      </c>
      <c r="D15" s="5">
        <f>B17/67000</f>
        <v>0.9882720869618391</v>
      </c>
      <c r="F15" t="s">
        <v>31</v>
      </c>
      <c r="H15" t="s">
        <v>32</v>
      </c>
    </row>
    <row r="16" spans="1:12" s="12" customFormat="1" x14ac:dyDescent="0.2">
      <c r="A16" s="12" t="s">
        <v>67</v>
      </c>
      <c r="B16" s="10">
        <f>SUM(B17:B26)</f>
        <v>116137.06315977656</v>
      </c>
      <c r="F16" s="10">
        <f>SUM(F17:F26)</f>
        <v>247.92878354863223</v>
      </c>
      <c r="G16" s="12" t="s">
        <v>48</v>
      </c>
      <c r="H16" s="10">
        <f>SUM(H17:H26)</f>
        <v>53817.822752319466</v>
      </c>
      <c r="I16" s="12" t="s">
        <v>8</v>
      </c>
      <c r="J16" s="12" t="s">
        <v>6</v>
      </c>
      <c r="K16" s="29">
        <f>SUM(K17:K25)</f>
        <v>169.95488591209602</v>
      </c>
    </row>
    <row r="17" spans="1:11" x14ac:dyDescent="0.2">
      <c r="A17" t="s">
        <v>74</v>
      </c>
      <c r="B17" s="2">
        <f>structure!C3</f>
        <v>66214.229826443217</v>
      </c>
      <c r="C17" t="s">
        <v>8</v>
      </c>
      <c r="D17" s="5">
        <f>B17/1000</f>
        <v>66.214229826443216</v>
      </c>
      <c r="E17" t="s">
        <v>43</v>
      </c>
      <c r="F17" s="3">
        <f>structure!B3</f>
        <v>60</v>
      </c>
      <c r="G17" t="s">
        <v>48</v>
      </c>
      <c r="H17" s="3"/>
      <c r="I17" t="s">
        <v>8</v>
      </c>
      <c r="K17" s="29">
        <f>B17/1000</f>
        <v>66.214229826443216</v>
      </c>
    </row>
    <row r="18" spans="1:11" x14ac:dyDescent="0.2">
      <c r="A18" t="s">
        <v>121</v>
      </c>
      <c r="B18" s="2"/>
      <c r="F18" s="3">
        <f>structure!B4</f>
        <v>40</v>
      </c>
      <c r="G18" t="s">
        <v>48</v>
      </c>
      <c r="H18" s="3"/>
      <c r="I18" t="s">
        <v>8</v>
      </c>
      <c r="K18" s="29">
        <f t="shared" ref="K18:K25" si="0">H18/1000</f>
        <v>0</v>
      </c>
    </row>
    <row r="19" spans="1:11" x14ac:dyDescent="0.2">
      <c r="A19" t="s">
        <v>35</v>
      </c>
      <c r="B19" s="2"/>
      <c r="C19" t="s">
        <v>8</v>
      </c>
      <c r="D19" s="24">
        <f>performance!C31+performance!E20*accomodation!C5</f>
        <v>0.77451585844059456</v>
      </c>
      <c r="E19" t="s">
        <v>73</v>
      </c>
      <c r="F19" s="3">
        <f>structure!B4</f>
        <v>40</v>
      </c>
      <c r="G19" t="s">
        <v>48</v>
      </c>
      <c r="H19" s="3"/>
      <c r="I19" t="s">
        <v>8</v>
      </c>
      <c r="K19" s="29">
        <f t="shared" si="0"/>
        <v>0</v>
      </c>
    </row>
    <row r="20" spans="1:11" x14ac:dyDescent="0.2">
      <c r="A20" t="s">
        <v>145</v>
      </c>
      <c r="B20" s="10">
        <f>accomodation!C24</f>
        <v>49922.833333333336</v>
      </c>
      <c r="C20" t="s">
        <v>8</v>
      </c>
      <c r="F20" s="3">
        <f>accomodation!C23</f>
        <v>87.928783548632225</v>
      </c>
      <c r="G20" t="s">
        <v>48</v>
      </c>
      <c r="H20" s="3">
        <f>accomodation!C9</f>
        <v>0</v>
      </c>
      <c r="I20" t="s">
        <v>8</v>
      </c>
      <c r="K20" s="29">
        <f>B20/1000</f>
        <v>49.922833333333337</v>
      </c>
    </row>
    <row r="21" spans="1:11" x14ac:dyDescent="0.2">
      <c r="A21" t="s">
        <v>29</v>
      </c>
      <c r="H21" s="3">
        <f>F16*constants!C3</f>
        <v>44514.668270408096</v>
      </c>
      <c r="I21" t="s">
        <v>8</v>
      </c>
      <c r="K21" s="29">
        <f t="shared" si="0"/>
        <v>44.514668270408094</v>
      </c>
    </row>
    <row r="22" spans="1:11" x14ac:dyDescent="0.2">
      <c r="A22" t="s">
        <v>25</v>
      </c>
      <c r="F22" s="3"/>
      <c r="H22" s="3">
        <f>performance!C10</f>
        <v>651.0344819113692</v>
      </c>
      <c r="I22" t="s">
        <v>8</v>
      </c>
      <c r="K22" s="29">
        <f t="shared" si="0"/>
        <v>0.65103448191136915</v>
      </c>
    </row>
    <row r="23" spans="1:11" x14ac:dyDescent="0.2">
      <c r="A23" t="s">
        <v>46</v>
      </c>
      <c r="F23" s="3">
        <f>structure!B11*2</f>
        <v>20</v>
      </c>
      <c r="G23" t="s">
        <v>48</v>
      </c>
      <c r="H23" s="3">
        <f>performance!C16</f>
        <v>8652.1200000000008</v>
      </c>
      <c r="I23" t="s">
        <v>8</v>
      </c>
      <c r="K23" s="29">
        <f t="shared" si="0"/>
        <v>8.65212</v>
      </c>
    </row>
    <row r="24" spans="1:11" x14ac:dyDescent="0.2">
      <c r="A24" t="s">
        <v>114</v>
      </c>
      <c r="H24" s="3">
        <f>structure!C47</f>
        <v>0</v>
      </c>
      <c r="I24" t="s">
        <v>8</v>
      </c>
      <c r="K24" s="29">
        <f t="shared" si="0"/>
        <v>0</v>
      </c>
    </row>
    <row r="25" spans="1:11" x14ac:dyDescent="0.2">
      <c r="A25" t="s">
        <v>131</v>
      </c>
      <c r="B25" s="3"/>
      <c r="D25" s="4"/>
      <c r="H25" s="3"/>
      <c r="I25" t="s">
        <v>8</v>
      </c>
      <c r="K25" s="29">
        <f t="shared" si="0"/>
        <v>0</v>
      </c>
    </row>
    <row r="26" spans="1:11" x14ac:dyDescent="0.2">
      <c r="B26" s="9"/>
      <c r="F26" s="3"/>
      <c r="H2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87983-2C50-0141-ABEC-D1342E122A7D}">
  <dimension ref="A1:F50"/>
  <sheetViews>
    <sheetView zoomScale="119" workbookViewId="0">
      <selection activeCell="D4" sqref="D4"/>
    </sheetView>
  </sheetViews>
  <sheetFormatPr baseColWidth="10" defaultRowHeight="16" x14ac:dyDescent="0.2"/>
  <cols>
    <col min="1" max="1" width="27" bestFit="1" customWidth="1"/>
    <col min="2" max="2" width="18" bestFit="1" customWidth="1"/>
    <col min="3" max="3" width="12.1640625" bestFit="1" customWidth="1"/>
  </cols>
  <sheetData>
    <row r="1" spans="1:5" x14ac:dyDescent="0.2">
      <c r="A1" t="s">
        <v>119</v>
      </c>
    </row>
    <row r="2" spans="1:5" x14ac:dyDescent="0.2">
      <c r="B2" s="4" t="s">
        <v>31</v>
      </c>
      <c r="C2" t="s">
        <v>52</v>
      </c>
    </row>
    <row r="3" spans="1:5" x14ac:dyDescent="0.2">
      <c r="A3" t="s">
        <v>164</v>
      </c>
      <c r="B3" s="26">
        <f>D3*$B$12</f>
        <v>60</v>
      </c>
      <c r="C3" s="3">
        <f>B13*D3</f>
        <v>66214.229826443217</v>
      </c>
      <c r="D3">
        <v>3</v>
      </c>
    </row>
    <row r="4" spans="1:5" x14ac:dyDescent="0.2">
      <c r="A4" t="s">
        <v>165</v>
      </c>
      <c r="B4" s="26">
        <f>B12*D4</f>
        <v>40</v>
      </c>
      <c r="C4" s="3">
        <f>B4*constants!C45</f>
        <v>66791.535054121574</v>
      </c>
      <c r="D4">
        <v>2</v>
      </c>
    </row>
    <row r="5" spans="1:5" x14ac:dyDescent="0.2">
      <c r="B5" s="3"/>
      <c r="C5" s="3"/>
    </row>
    <row r="6" spans="1:5" x14ac:dyDescent="0.2">
      <c r="A6" t="s">
        <v>147</v>
      </c>
      <c r="C6" t="s">
        <v>159</v>
      </c>
    </row>
    <row r="7" spans="1:5" x14ac:dyDescent="0.2">
      <c r="A7" t="s">
        <v>154</v>
      </c>
      <c r="B7" s="3">
        <f>constants!E35</f>
        <v>2400000000</v>
      </c>
    </row>
    <row r="8" spans="1:5" x14ac:dyDescent="0.2">
      <c r="A8" t="s">
        <v>71</v>
      </c>
      <c r="B8">
        <f>SQRT(B11*2/(3*SQRT(3)))</f>
        <v>1.9618873042551412</v>
      </c>
    </row>
    <row r="9" spans="1:5" x14ac:dyDescent="0.2">
      <c r="A9" t="s">
        <v>153</v>
      </c>
      <c r="B9" s="23">
        <f>2-B8</f>
        <v>3.811269574485876E-2</v>
      </c>
      <c r="C9">
        <v>1E-3</v>
      </c>
    </row>
    <row r="10" spans="1:5" x14ac:dyDescent="0.2">
      <c r="A10" t="s">
        <v>49</v>
      </c>
      <c r="B10">
        <v>2</v>
      </c>
      <c r="C10">
        <f>B10+(B9*2)</f>
        <v>2.0762253914897175</v>
      </c>
    </row>
    <row r="11" spans="1:5" x14ac:dyDescent="0.2">
      <c r="A11" t="s">
        <v>56</v>
      </c>
      <c r="B11">
        <v>10</v>
      </c>
      <c r="C11">
        <f>((B11*2)+6*B8*B10)</f>
        <v>43.542647651061699</v>
      </c>
      <c r="E11">
        <f>1219 * 1016/1000000</f>
        <v>1.238504</v>
      </c>
    </row>
    <row r="12" spans="1:5" x14ac:dyDescent="0.2">
      <c r="A12" t="s">
        <v>31</v>
      </c>
      <c r="B12">
        <f>B11*B10</f>
        <v>20</v>
      </c>
      <c r="C12">
        <f>C11*C9</f>
        <v>4.3542647651061701E-2</v>
      </c>
    </row>
    <row r="13" spans="1:5" x14ac:dyDescent="0.2">
      <c r="A13" t="s">
        <v>52</v>
      </c>
      <c r="B13" s="4">
        <f>B12*constants!C19+C13</f>
        <v>22071.40994214774</v>
      </c>
      <c r="C13">
        <f>C12*constants!C34*0.2</f>
        <v>71.409942147741191</v>
      </c>
      <c r="E13">
        <v>2086.5250000000001</v>
      </c>
    </row>
    <row r="14" spans="1:5" x14ac:dyDescent="0.2">
      <c r="A14" t="s">
        <v>152</v>
      </c>
      <c r="B14">
        <f>200/10</f>
        <v>20</v>
      </c>
    </row>
    <row r="15" spans="1:5" x14ac:dyDescent="0.2">
      <c r="A15" t="s">
        <v>148</v>
      </c>
      <c r="B15" t="s">
        <v>149</v>
      </c>
      <c r="C15" t="s">
        <v>150</v>
      </c>
      <c r="D15" t="s">
        <v>151</v>
      </c>
    </row>
    <row r="16" spans="1:5" x14ac:dyDescent="0.2">
      <c r="A16">
        <v>1</v>
      </c>
      <c r="B16">
        <f>2*PI()*A16/6</f>
        <v>1.0471975511965976</v>
      </c>
      <c r="C16" s="11">
        <f t="shared" ref="C16:C21" si="0">COS(B16)*($B$8+$B$9)*$B$14</f>
        <v>20.000000000000004</v>
      </c>
      <c r="D16" s="11">
        <f t="shared" ref="D16:D21" si="1">SIN(B16)*($B$8+$B$9)*$B$14</f>
        <v>34.641016151377542</v>
      </c>
    </row>
    <row r="17" spans="1:6" x14ac:dyDescent="0.2">
      <c r="A17">
        <v>2</v>
      </c>
      <c r="B17">
        <f t="shared" ref="B17:B21" si="2">2*PI()*A17/6</f>
        <v>2.0943951023931953</v>
      </c>
      <c r="C17" s="11">
        <f t="shared" si="0"/>
        <v>-19.999999999999993</v>
      </c>
      <c r="D17" s="11">
        <f t="shared" si="1"/>
        <v>34.641016151377549</v>
      </c>
    </row>
    <row r="18" spans="1:6" x14ac:dyDescent="0.2">
      <c r="A18">
        <v>3</v>
      </c>
      <c r="B18">
        <f t="shared" si="2"/>
        <v>3.1415926535897931</v>
      </c>
      <c r="C18" s="11">
        <f t="shared" si="0"/>
        <v>-40</v>
      </c>
      <c r="D18" s="11">
        <f t="shared" si="1"/>
        <v>4.90059381963448E-15</v>
      </c>
      <c r="E18" s="3"/>
    </row>
    <row r="19" spans="1:6" x14ac:dyDescent="0.2">
      <c r="A19">
        <v>4</v>
      </c>
      <c r="B19">
        <f t="shared" si="2"/>
        <v>4.1887902047863905</v>
      </c>
      <c r="C19" s="11">
        <f t="shared" si="0"/>
        <v>-20.000000000000018</v>
      </c>
      <c r="D19" s="11">
        <f t="shared" si="1"/>
        <v>-34.641016151377535</v>
      </c>
    </row>
    <row r="20" spans="1:6" x14ac:dyDescent="0.2">
      <c r="A20">
        <v>5</v>
      </c>
      <c r="B20">
        <f t="shared" si="2"/>
        <v>5.2359877559829888</v>
      </c>
      <c r="C20" s="11">
        <f t="shared" si="0"/>
        <v>20.000000000000004</v>
      </c>
      <c r="D20" s="11">
        <f t="shared" si="1"/>
        <v>-34.641016151377542</v>
      </c>
    </row>
    <row r="21" spans="1:6" x14ac:dyDescent="0.2">
      <c r="A21">
        <v>6</v>
      </c>
      <c r="B21">
        <f t="shared" si="2"/>
        <v>6.2831853071795862</v>
      </c>
      <c r="C21" s="11">
        <f t="shared" si="0"/>
        <v>40</v>
      </c>
      <c r="D21" s="11">
        <f t="shared" si="1"/>
        <v>-9.8011876392689601E-15</v>
      </c>
    </row>
    <row r="22" spans="1:6" x14ac:dyDescent="0.2">
      <c r="A22" t="s">
        <v>91</v>
      </c>
    </row>
    <row r="23" spans="1:6" x14ac:dyDescent="0.2">
      <c r="B23" t="s">
        <v>92</v>
      </c>
      <c r="C23">
        <v>350</v>
      </c>
      <c r="D23" t="s">
        <v>93</v>
      </c>
    </row>
    <row r="24" spans="1:6" x14ac:dyDescent="0.2">
      <c r="B24" t="s">
        <v>52</v>
      </c>
      <c r="C24">
        <v>1</v>
      </c>
      <c r="D24" t="s">
        <v>4</v>
      </c>
    </row>
    <row r="25" spans="1:6" x14ac:dyDescent="0.2">
      <c r="B25" t="s">
        <v>97</v>
      </c>
      <c r="C25" s="3">
        <f>performance!C22</f>
        <v>3460848</v>
      </c>
      <c r="D25" t="s">
        <v>95</v>
      </c>
    </row>
    <row r="26" spans="1:6" x14ac:dyDescent="0.2">
      <c r="B26" t="s">
        <v>98</v>
      </c>
      <c r="C26">
        <f>accomodation!C11/24/3600*1000</f>
        <v>18.904320987654323</v>
      </c>
      <c r="D26" t="s">
        <v>95</v>
      </c>
    </row>
    <row r="28" spans="1:6" x14ac:dyDescent="0.2">
      <c r="B28" t="s">
        <v>96</v>
      </c>
      <c r="C28">
        <f>B8*B10*3*6</f>
        <v>70.627942953185084</v>
      </c>
      <c r="D28" t="s">
        <v>30</v>
      </c>
    </row>
    <row r="29" spans="1:6" x14ac:dyDescent="0.2">
      <c r="B29" t="s">
        <v>102</v>
      </c>
      <c r="C29" s="3">
        <f>C28*C23</f>
        <v>24719.780033614777</v>
      </c>
      <c r="D29" t="s">
        <v>95</v>
      </c>
      <c r="E29" s="11"/>
    </row>
    <row r="30" spans="1:6" x14ac:dyDescent="0.2">
      <c r="C30" s="3">
        <f>design!C3</f>
        <v>169954.88591209601</v>
      </c>
      <c r="E30" s="11"/>
    </row>
    <row r="31" spans="1:6" x14ac:dyDescent="0.2">
      <c r="B31" t="s">
        <v>105</v>
      </c>
      <c r="C31" s="3">
        <f>C30*constants!C28</f>
        <v>56688452195.979622</v>
      </c>
    </row>
    <row r="32" spans="1:6" x14ac:dyDescent="0.2">
      <c r="B32" t="s">
        <v>110</v>
      </c>
      <c r="C32" s="3">
        <f>C31/C25</f>
        <v>16379.931218007732</v>
      </c>
      <c r="D32" t="s">
        <v>109</v>
      </c>
      <c r="E32" s="4">
        <f>C32/24/3600</f>
        <v>0.18958253724545987</v>
      </c>
      <c r="F32" t="s">
        <v>33</v>
      </c>
    </row>
    <row r="33" spans="2:4" x14ac:dyDescent="0.2">
      <c r="B33" t="s">
        <v>111</v>
      </c>
      <c r="C33" s="3">
        <f>C25/(C30*constants!C29)</f>
        <v>4.8646281346951389E-3</v>
      </c>
      <c r="D33" t="s">
        <v>112</v>
      </c>
    </row>
    <row r="34" spans="2:4" x14ac:dyDescent="0.2">
      <c r="C34" s="4">
        <f>C33*(performance!C73+performance!C62)</f>
        <v>0</v>
      </c>
      <c r="D34" t="s">
        <v>113</v>
      </c>
    </row>
    <row r="37" spans="2:4" x14ac:dyDescent="0.2">
      <c r="C37" s="3"/>
    </row>
    <row r="38" spans="2:4" x14ac:dyDescent="0.2">
      <c r="C38" s="3"/>
    </row>
    <row r="39" spans="2:4" x14ac:dyDescent="0.2">
      <c r="C39" s="3"/>
    </row>
    <row r="40" spans="2:4" x14ac:dyDescent="0.2">
      <c r="C40" s="3"/>
    </row>
    <row r="47" spans="2:4" x14ac:dyDescent="0.2">
      <c r="C47" s="3"/>
    </row>
    <row r="49" spans="3:3" x14ac:dyDescent="0.2">
      <c r="C49" s="3"/>
    </row>
    <row r="50" spans="3:3" x14ac:dyDescent="0.2">
      <c r="C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6685-5D1E-AD4C-A969-3C8B8D65B0C6}">
  <dimension ref="A2:G64"/>
  <sheetViews>
    <sheetView workbookViewId="0">
      <selection activeCell="K14" sqref="K14"/>
    </sheetView>
  </sheetViews>
  <sheetFormatPr baseColWidth="10" defaultRowHeight="16" x14ac:dyDescent="0.2"/>
  <cols>
    <col min="2" max="2" width="20.5" bestFit="1" customWidth="1"/>
    <col min="7" max="7" width="18.5" bestFit="1" customWidth="1"/>
    <col min="8" max="8" width="20.6640625" bestFit="1" customWidth="1"/>
  </cols>
  <sheetData>
    <row r="2" spans="1:7" x14ac:dyDescent="0.2">
      <c r="A2" t="s">
        <v>54</v>
      </c>
      <c r="C2" s="9">
        <v>4</v>
      </c>
      <c r="E2" s="9"/>
    </row>
    <row r="3" spans="1:7" x14ac:dyDescent="0.2">
      <c r="A3" t="s">
        <v>160</v>
      </c>
      <c r="C3" s="9">
        <v>45</v>
      </c>
      <c r="E3" s="9"/>
    </row>
    <row r="4" spans="1:7" x14ac:dyDescent="0.2">
      <c r="A4" t="s">
        <v>55</v>
      </c>
      <c r="C4" s="9">
        <f>C2+C3</f>
        <v>49</v>
      </c>
      <c r="E4" s="9"/>
    </row>
    <row r="5" spans="1:7" x14ac:dyDescent="0.2">
      <c r="A5" t="s">
        <v>41</v>
      </c>
      <c r="C5">
        <v>7</v>
      </c>
      <c r="D5" t="s">
        <v>33</v>
      </c>
    </row>
    <row r="7" spans="1:7" x14ac:dyDescent="0.2">
      <c r="A7" t="s">
        <v>68</v>
      </c>
    </row>
    <row r="8" spans="1:7" x14ac:dyDescent="0.2">
      <c r="B8" t="s">
        <v>56</v>
      </c>
      <c r="C8" s="9">
        <f>SUM(B49:B63)</f>
        <v>0</v>
      </c>
      <c r="D8" t="s">
        <v>30</v>
      </c>
      <c r="E8">
        <f>C8/C4</f>
        <v>0</v>
      </c>
      <c r="F8" t="s">
        <v>69</v>
      </c>
    </row>
    <row r="9" spans="1:7" x14ac:dyDescent="0.2">
      <c r="B9" t="s">
        <v>32</v>
      </c>
      <c r="C9" s="9">
        <f>SUM(F49:F64)</f>
        <v>0</v>
      </c>
      <c r="D9" t="s">
        <v>8</v>
      </c>
      <c r="E9">
        <f>C9/C4/1000</f>
        <v>0</v>
      </c>
      <c r="F9" t="s">
        <v>70</v>
      </c>
    </row>
    <row r="10" spans="1:7" x14ac:dyDescent="0.2">
      <c r="B10" t="s">
        <v>49</v>
      </c>
      <c r="C10">
        <f>SUM(C49:C62)</f>
        <v>0</v>
      </c>
      <c r="D10" t="s">
        <v>6</v>
      </c>
    </row>
    <row r="11" spans="1:7" x14ac:dyDescent="0.2">
      <c r="B11" t="s">
        <v>81</v>
      </c>
      <c r="C11" s="9">
        <f>C4*constants!C22</f>
        <v>1633.3333333333335</v>
      </c>
      <c r="D11" t="s">
        <v>84</v>
      </c>
    </row>
    <row r="12" spans="1:7" x14ac:dyDescent="0.2">
      <c r="B12" t="s">
        <v>94</v>
      </c>
      <c r="C12" s="4">
        <v>0.8</v>
      </c>
    </row>
    <row r="13" spans="1:7" x14ac:dyDescent="0.2">
      <c r="B13" t="s">
        <v>116</v>
      </c>
      <c r="C13" s="3">
        <f>constants!C23*C4</f>
        <v>38064.833333333336</v>
      </c>
      <c r="D13" t="s">
        <v>8</v>
      </c>
      <c r="E13" s="3">
        <f>C13/2000</f>
        <v>19.032416666666666</v>
      </c>
      <c r="F13" t="s">
        <v>48</v>
      </c>
      <c r="G13" s="3" t="s">
        <v>50</v>
      </c>
    </row>
    <row r="14" spans="1:7" x14ac:dyDescent="0.2">
      <c r="A14" t="s">
        <v>42</v>
      </c>
    </row>
    <row r="15" spans="1:7" x14ac:dyDescent="0.2">
      <c r="B15" t="s">
        <v>115</v>
      </c>
      <c r="C15">
        <f>C4*3</f>
        <v>147</v>
      </c>
    </row>
    <row r="16" spans="1:7" x14ac:dyDescent="0.2">
      <c r="B16" t="s">
        <v>64</v>
      </c>
      <c r="C16">
        <v>2</v>
      </c>
      <c r="D16" t="s">
        <v>65</v>
      </c>
    </row>
    <row r="17" spans="1:6" x14ac:dyDescent="0.2">
      <c r="B17" t="s">
        <v>52</v>
      </c>
      <c r="C17">
        <f>C15*C5*C16</f>
        <v>2058</v>
      </c>
      <c r="D17" t="s">
        <v>8</v>
      </c>
    </row>
    <row r="18" spans="1:6" x14ac:dyDescent="0.2">
      <c r="A18" t="s">
        <v>167</v>
      </c>
    </row>
    <row r="19" spans="1:6" x14ac:dyDescent="0.2">
      <c r="B19" t="s">
        <v>168</v>
      </c>
      <c r="C19">
        <f>E19*C4</f>
        <v>4900</v>
      </c>
      <c r="D19" t="s">
        <v>8</v>
      </c>
      <c r="E19" s="9">
        <v>100</v>
      </c>
      <c r="F19" t="s">
        <v>169</v>
      </c>
    </row>
    <row r="20" spans="1:6" x14ac:dyDescent="0.2">
      <c r="B20" t="s">
        <v>66</v>
      </c>
      <c r="C20">
        <f>C4*E20</f>
        <v>4900</v>
      </c>
      <c r="D20" t="s">
        <v>8</v>
      </c>
      <c r="E20">
        <v>100</v>
      </c>
      <c r="F20" t="s">
        <v>8</v>
      </c>
    </row>
    <row r="22" spans="1:6" x14ac:dyDescent="0.2">
      <c r="A22" t="s">
        <v>67</v>
      </c>
      <c r="E22" s="9"/>
    </row>
    <row r="23" spans="1:6" x14ac:dyDescent="0.2">
      <c r="B23" t="s">
        <v>31</v>
      </c>
      <c r="C23" s="9">
        <f>C2*constants!C40+C3*constants!C41</f>
        <v>87.928783548632225</v>
      </c>
      <c r="D23" t="s">
        <v>48</v>
      </c>
    </row>
    <row r="24" spans="1:6" x14ac:dyDescent="0.2">
      <c r="B24" t="s">
        <v>52</v>
      </c>
      <c r="C24" s="3">
        <f>C19+C20+C17+C13</f>
        <v>49922.833333333336</v>
      </c>
    </row>
    <row r="30" spans="1:6" x14ac:dyDescent="0.2">
      <c r="E30" s="9"/>
    </row>
    <row r="49" spans="4:6" x14ac:dyDescent="0.2">
      <c r="D49" s="11"/>
      <c r="F49" s="3"/>
    </row>
    <row r="50" spans="4:6" x14ac:dyDescent="0.2">
      <c r="D50" s="11"/>
      <c r="F50" s="3"/>
    </row>
    <row r="51" spans="4:6" x14ac:dyDescent="0.2">
      <c r="D51" s="11"/>
      <c r="F51" s="3"/>
    </row>
    <row r="52" spans="4:6" x14ac:dyDescent="0.2">
      <c r="D52" s="11"/>
      <c r="F52" s="3"/>
    </row>
    <row r="53" spans="4:6" x14ac:dyDescent="0.2">
      <c r="D53" s="11"/>
      <c r="F53" s="3"/>
    </row>
    <row r="54" spans="4:6" x14ac:dyDescent="0.2">
      <c r="D54" s="11"/>
      <c r="F54" s="3"/>
    </row>
    <row r="55" spans="4:6" x14ac:dyDescent="0.2">
      <c r="D55" s="11"/>
      <c r="F55" s="3"/>
    </row>
    <row r="56" spans="4:6" x14ac:dyDescent="0.2">
      <c r="D56" s="11"/>
      <c r="F56" s="3"/>
    </row>
    <row r="57" spans="4:6" x14ac:dyDescent="0.2">
      <c r="D57" s="11"/>
      <c r="F57" s="3"/>
    </row>
    <row r="58" spans="4:6" x14ac:dyDescent="0.2">
      <c r="D58" s="11"/>
      <c r="F58" s="3"/>
    </row>
    <row r="59" spans="4:6" x14ac:dyDescent="0.2">
      <c r="D59" s="11"/>
      <c r="F59" s="3"/>
    </row>
    <row r="60" spans="4:6" x14ac:dyDescent="0.2">
      <c r="D60" s="11"/>
      <c r="F60" s="3"/>
    </row>
    <row r="61" spans="4:6" x14ac:dyDescent="0.2">
      <c r="D61" s="11"/>
      <c r="F61" s="3"/>
    </row>
    <row r="62" spans="4:6" x14ac:dyDescent="0.2">
      <c r="D62" s="11"/>
      <c r="F62" s="3"/>
    </row>
    <row r="63" spans="4:6" x14ac:dyDescent="0.2">
      <c r="D63" s="11"/>
    </row>
    <row r="64" spans="4:6" x14ac:dyDescent="0.2">
      <c r="D6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4FA7-CBD5-0B43-897C-990393E2A5D8}">
  <dimension ref="A1:P77"/>
  <sheetViews>
    <sheetView workbookViewId="0">
      <selection activeCell="C4" sqref="C4"/>
    </sheetView>
  </sheetViews>
  <sheetFormatPr baseColWidth="10" defaultRowHeight="16" x14ac:dyDescent="0.2"/>
  <cols>
    <col min="1" max="1" width="16.33203125" bestFit="1" customWidth="1"/>
    <col min="2" max="2" width="14.6640625" bestFit="1" customWidth="1"/>
    <col min="3" max="3" width="12.6640625" bestFit="1" customWidth="1"/>
    <col min="8" max="8" width="12.6640625" bestFit="1" customWidth="1"/>
    <col min="10" max="10" width="16.33203125" customWidth="1"/>
    <col min="11" max="11" width="11.1640625" bestFit="1" customWidth="1"/>
  </cols>
  <sheetData>
    <row r="1" spans="1:12" x14ac:dyDescent="0.2">
      <c r="A1" t="s">
        <v>9</v>
      </c>
    </row>
    <row r="3" spans="1:12" x14ac:dyDescent="0.2">
      <c r="A3" t="s">
        <v>11</v>
      </c>
      <c r="K3" s="4"/>
    </row>
    <row r="4" spans="1:12" x14ac:dyDescent="0.2">
      <c r="B4" t="s">
        <v>12</v>
      </c>
      <c r="C4" s="5">
        <f>C9/C6</f>
        <v>36.26</v>
      </c>
      <c r="D4" t="s">
        <v>13</v>
      </c>
      <c r="E4" t="s">
        <v>14</v>
      </c>
      <c r="F4" t="s">
        <v>15</v>
      </c>
    </row>
    <row r="5" spans="1:12" x14ac:dyDescent="0.2">
      <c r="B5" t="s">
        <v>58</v>
      </c>
      <c r="C5" s="9">
        <f>design!E4</f>
        <v>51680.366797173512</v>
      </c>
      <c r="D5" t="s">
        <v>37</v>
      </c>
      <c r="E5">
        <f>C5/constants!$C$9*3600*24</f>
        <v>2.9847909401265235E-2</v>
      </c>
      <c r="F5" t="s">
        <v>38</v>
      </c>
    </row>
    <row r="6" spans="1:12" x14ac:dyDescent="0.2">
      <c r="B6" t="s">
        <v>16</v>
      </c>
      <c r="C6" s="3">
        <f>60000</f>
        <v>60000</v>
      </c>
      <c r="D6" t="s">
        <v>80</v>
      </c>
      <c r="E6" s="3">
        <f>C6/200000000</f>
        <v>2.9999999999999997E-4</v>
      </c>
    </row>
    <row r="7" spans="1:12" x14ac:dyDescent="0.2">
      <c r="B7" t="s">
        <v>17</v>
      </c>
      <c r="C7" s="5">
        <f>C6/9.8</f>
        <v>6122.4489795918362</v>
      </c>
      <c r="D7" t="s">
        <v>18</v>
      </c>
      <c r="K7" s="7"/>
      <c r="L7" s="7"/>
    </row>
    <row r="8" spans="1:12" x14ac:dyDescent="0.2">
      <c r="B8" t="s">
        <v>87</v>
      </c>
      <c r="C8">
        <v>0.6</v>
      </c>
      <c r="K8" s="8"/>
    </row>
    <row r="9" spans="1:12" x14ac:dyDescent="0.2">
      <c r="B9" t="s">
        <v>19</v>
      </c>
      <c r="C9" s="3">
        <f>design!C2*E9</f>
        <v>2175600</v>
      </c>
      <c r="D9" t="s">
        <v>20</v>
      </c>
      <c r="E9">
        <f>9.8*1</f>
        <v>9.8000000000000007</v>
      </c>
      <c r="F9" t="s">
        <v>21</v>
      </c>
    </row>
    <row r="10" spans="1:12" x14ac:dyDescent="0.2">
      <c r="B10" t="s">
        <v>44</v>
      </c>
      <c r="C10" s="3">
        <f>C4/1000*constants!C3*E10</f>
        <v>651.0344819113692</v>
      </c>
      <c r="D10" t="s">
        <v>8</v>
      </c>
      <c r="E10">
        <v>100</v>
      </c>
      <c r="F10" t="s">
        <v>45</v>
      </c>
    </row>
    <row r="11" spans="1:12" x14ac:dyDescent="0.2">
      <c r="B11" t="s">
        <v>136</v>
      </c>
      <c r="C11" s="3">
        <f>C26+C27</f>
        <v>169954.88591209601</v>
      </c>
    </row>
    <row r="12" spans="1:12" x14ac:dyDescent="0.2">
      <c r="A12" t="s">
        <v>22</v>
      </c>
    </row>
    <row r="13" spans="1:12" x14ac:dyDescent="0.2">
      <c r="B13" t="s">
        <v>23</v>
      </c>
      <c r="C13" s="3">
        <v>5.0520903105145081E-11</v>
      </c>
      <c r="D13" t="s">
        <v>24</v>
      </c>
    </row>
    <row r="14" spans="1:12" x14ac:dyDescent="0.2">
      <c r="B14" t="s">
        <v>85</v>
      </c>
      <c r="C14" s="3">
        <f>(G20)*3.6+(C9*(1-C8))</f>
        <v>8652120</v>
      </c>
      <c r="D14" t="s">
        <v>86</v>
      </c>
      <c r="E14">
        <f>POWER(C14,0.5)</f>
        <v>2941.448622702766</v>
      </c>
      <c r="F14">
        <f>POWER(C14,0.3333)</f>
        <v>205.18373951564161</v>
      </c>
    </row>
    <row r="15" spans="1:12" x14ac:dyDescent="0.2">
      <c r="B15" t="s">
        <v>87</v>
      </c>
      <c r="C15" s="3">
        <v>0.6</v>
      </c>
    </row>
    <row r="16" spans="1:12" x14ac:dyDescent="0.2">
      <c r="B16" t="s">
        <v>47</v>
      </c>
      <c r="C16" s="3">
        <f>C14/E16</f>
        <v>8652.1200000000008</v>
      </c>
      <c r="D16" t="s">
        <v>8</v>
      </c>
      <c r="E16">
        <v>1000</v>
      </c>
      <c r="F16" t="s">
        <v>45</v>
      </c>
      <c r="G16" s="25">
        <f>C16/1000</f>
        <v>8.65212</v>
      </c>
      <c r="H16" t="s">
        <v>166</v>
      </c>
    </row>
    <row r="17" spans="1:11" x14ac:dyDescent="0.2">
      <c r="B17" t="s">
        <v>88</v>
      </c>
      <c r="C17" s="3">
        <f>C16/7000</f>
        <v>1.2360171428571429</v>
      </c>
      <c r="D17" t="s">
        <v>30</v>
      </c>
      <c r="G17" s="3"/>
      <c r="I17" s="3"/>
    </row>
    <row r="18" spans="1:11" x14ac:dyDescent="0.2">
      <c r="B18" t="s">
        <v>89</v>
      </c>
      <c r="C18" s="5">
        <f>POWER(C17*3/(4*PI()),1/3)</f>
        <v>0.66575120570273427</v>
      </c>
      <c r="D18" t="s">
        <v>6</v>
      </c>
      <c r="G18" s="3"/>
    </row>
    <row r="19" spans="1:11" x14ac:dyDescent="0.2">
      <c r="B19" t="s">
        <v>25</v>
      </c>
      <c r="C19" s="3">
        <f>E19*C13</f>
        <v>1.5665632820390162E-5</v>
      </c>
      <c r="D19" t="s">
        <v>138</v>
      </c>
      <c r="E19" s="3">
        <f>G19/1000*3600</f>
        <v>310082.20078304107</v>
      </c>
      <c r="F19" t="s">
        <v>140</v>
      </c>
      <c r="G19" s="3">
        <f>C5/C8</f>
        <v>86133.944661955858</v>
      </c>
      <c r="H19" t="s">
        <v>139</v>
      </c>
      <c r="I19" s="3" t="s">
        <v>141</v>
      </c>
    </row>
    <row r="20" spans="1:11" x14ac:dyDescent="0.2">
      <c r="B20" t="s">
        <v>28</v>
      </c>
      <c r="C20" s="3">
        <f>E20/(24*3600)</f>
        <v>1.2639776409975129E-9</v>
      </c>
      <c r="D20" t="s">
        <v>13</v>
      </c>
      <c r="E20" s="3">
        <f>G20*$C$13</f>
        <v>1.0920766818218512E-4</v>
      </c>
      <c r="F20" t="s">
        <v>26</v>
      </c>
      <c r="G20" s="3">
        <f>accomodation!C11+90*1000*24</f>
        <v>2161633.3333333335</v>
      </c>
      <c r="H20" t="s">
        <v>27</v>
      </c>
    </row>
    <row r="21" spans="1:11" x14ac:dyDescent="0.2">
      <c r="A21" t="s">
        <v>99</v>
      </c>
      <c r="C21" s="3"/>
      <c r="E21" s="3"/>
      <c r="G21" s="3"/>
    </row>
    <row r="22" spans="1:11" x14ac:dyDescent="0.2">
      <c r="B22" t="s">
        <v>100</v>
      </c>
      <c r="C22" s="3">
        <f>C14*(1-C15)</f>
        <v>3460848</v>
      </c>
      <c r="D22" t="s">
        <v>86</v>
      </c>
    </row>
    <row r="23" spans="1:11" x14ac:dyDescent="0.2">
      <c r="B23" t="s">
        <v>101</v>
      </c>
      <c r="C23" s="3">
        <f>G20/3600*1000</f>
        <v>600453.70370370371</v>
      </c>
      <c r="D23" t="s">
        <v>86</v>
      </c>
    </row>
    <row r="24" spans="1:11" x14ac:dyDescent="0.2">
      <c r="K24" s="3"/>
    </row>
    <row r="25" spans="1:11" x14ac:dyDescent="0.2">
      <c r="A25" t="s">
        <v>10</v>
      </c>
    </row>
    <row r="26" spans="1:11" x14ac:dyDescent="0.2">
      <c r="B26" t="s">
        <v>129</v>
      </c>
      <c r="C26" s="3">
        <f>design!H16</f>
        <v>53817.822752319466</v>
      </c>
    </row>
    <row r="27" spans="1:11" x14ac:dyDescent="0.2">
      <c r="B27" t="s">
        <v>130</v>
      </c>
      <c r="C27" s="3">
        <f>design!B16</f>
        <v>116137.06315977656</v>
      </c>
    </row>
    <row r="28" spans="1:11" x14ac:dyDescent="0.2">
      <c r="B28" t="s">
        <v>134</v>
      </c>
      <c r="C28" s="3">
        <f>C26+C27</f>
        <v>169954.88591209601</v>
      </c>
    </row>
    <row r="29" spans="1:11" ht="13" customHeight="1" x14ac:dyDescent="0.2">
      <c r="B29" t="s">
        <v>135</v>
      </c>
      <c r="C29" s="9">
        <v>2</v>
      </c>
    </row>
    <row r="30" spans="1:11" x14ac:dyDescent="0.2">
      <c r="B30" t="s">
        <v>143</v>
      </c>
      <c r="C30" s="3">
        <f>SUM(D37:D39)</f>
        <v>49390.87315073733</v>
      </c>
      <c r="D30" s="3">
        <f>structure!C4</f>
        <v>66791.535054121574</v>
      </c>
      <c r="E30" s="32">
        <f>D30/C30</f>
        <v>1.3523052093102039</v>
      </c>
    </row>
    <row r="31" spans="1:11" x14ac:dyDescent="0.2">
      <c r="B31" t="s">
        <v>144</v>
      </c>
      <c r="C31" s="3">
        <f>SUM(E37:E39)</f>
        <v>0.77375140476331927</v>
      </c>
      <c r="D31" s="3"/>
    </row>
    <row r="32" spans="1:11" x14ac:dyDescent="0.2">
      <c r="C32" s="3"/>
    </row>
    <row r="33" spans="1:16" x14ac:dyDescent="0.2">
      <c r="A33" t="s">
        <v>146</v>
      </c>
      <c r="B33" s="3">
        <f>SUM(D37:D39)</f>
        <v>49390.87315073733</v>
      </c>
      <c r="C33" s="3">
        <f>structure!C4</f>
        <v>66791.535054121574</v>
      </c>
      <c r="D33" s="3"/>
      <c r="E33" s="3"/>
      <c r="F33" s="3"/>
      <c r="G33" s="3"/>
      <c r="H33" s="4"/>
      <c r="J33" s="4"/>
      <c r="K33" s="3"/>
    </row>
    <row r="34" spans="1:16" x14ac:dyDescent="0.2">
      <c r="B34" s="4"/>
      <c r="C34" s="3"/>
      <c r="D34" s="3"/>
      <c r="E34" s="3"/>
      <c r="F34" s="3"/>
      <c r="G34" s="3"/>
      <c r="H34" s="4"/>
      <c r="J34" s="4"/>
      <c r="K34" s="3"/>
    </row>
    <row r="35" spans="1:16" x14ac:dyDescent="0.2">
      <c r="A35" t="s">
        <v>206</v>
      </c>
      <c r="F35" s="3">
        <f>SUM(F37:F39)</f>
        <v>15910</v>
      </c>
      <c r="L35" s="4">
        <f>SUM(L37:L39)/24</f>
        <v>1.5765406079145897E-2</v>
      </c>
    </row>
    <row r="36" spans="1:16" x14ac:dyDescent="0.2">
      <c r="A36" t="s">
        <v>132</v>
      </c>
      <c r="B36" t="s">
        <v>133</v>
      </c>
      <c r="C36" t="s">
        <v>134</v>
      </c>
      <c r="D36" t="s">
        <v>137</v>
      </c>
      <c r="E36" t="s">
        <v>39</v>
      </c>
      <c r="F36" t="s">
        <v>58</v>
      </c>
      <c r="H36" t="s">
        <v>73</v>
      </c>
      <c r="J36" t="s">
        <v>210</v>
      </c>
      <c r="K36" t="s">
        <v>142</v>
      </c>
      <c r="L36" t="s">
        <v>208</v>
      </c>
      <c r="N36" t="s">
        <v>211</v>
      </c>
      <c r="O36" t="s">
        <v>209</v>
      </c>
    </row>
    <row r="37" spans="1:16" x14ac:dyDescent="0.2">
      <c r="A37" t="s">
        <v>205</v>
      </c>
      <c r="B37" s="3">
        <f>EXP(F37/$C$6)*C37</f>
        <v>207134.0893478459</v>
      </c>
      <c r="C37" s="3">
        <f>C38</f>
        <v>175335.22123481118</v>
      </c>
      <c r="D37" s="3">
        <f>B37-C37-E37</f>
        <v>31798.369963642763</v>
      </c>
      <c r="E37" s="3">
        <f t="shared" ref="E37:E38" si="0">(B37-C37)*$C$19</f>
        <v>0.49814939196281494</v>
      </c>
      <c r="F37" s="3">
        <f>deltav!D3*1000</f>
        <v>10000</v>
      </c>
      <c r="G37" s="3">
        <f>$C$6*LN(B37/C37)</f>
        <v>9999.9999999999945</v>
      </c>
      <c r="H37" s="4">
        <f>F37/3600/1000</f>
        <v>2.7777777777777779E-3</v>
      </c>
      <c r="I37" t="s">
        <v>38</v>
      </c>
      <c r="J37" s="4">
        <f>F37*(B37/$C$4)*(1-(C37/B37)*(LOG(B37/C37)+1))/1000</f>
        <v>5269.6308886120614</v>
      </c>
      <c r="K37" s="4">
        <f>($C$6*$C$4)/C37/9.8</f>
        <v>1.2661460625911249</v>
      </c>
      <c r="L37" s="4">
        <f>D37/$C$4/3600</f>
        <v>0.24359847064137682</v>
      </c>
      <c r="M37" t="s">
        <v>36</v>
      </c>
      <c r="N37">
        <v>2000</v>
      </c>
      <c r="O37" s="4">
        <f>L37</f>
        <v>0.24359847064137682</v>
      </c>
      <c r="P37" t="s">
        <v>36</v>
      </c>
    </row>
    <row r="38" spans="1:16" x14ac:dyDescent="0.2">
      <c r="A38" t="s">
        <v>193</v>
      </c>
      <c r="B38" s="3">
        <f>EXP(F38/$C$6)*C38</f>
        <v>187547.66470120338</v>
      </c>
      <c r="C38" s="3">
        <f>B39</f>
        <v>175335.22123481118</v>
      </c>
      <c r="D38" s="3">
        <f>B38-C38-E38</f>
        <v>12212.252150737017</v>
      </c>
      <c r="E38" s="3">
        <f t="shared" si="0"/>
        <v>0.19131565518427304</v>
      </c>
      <c r="F38" s="3">
        <f>deltav!J5*1000</f>
        <v>4040</v>
      </c>
      <c r="G38" s="3">
        <f t="shared" ref="G38" si="1">$C$6*LN(B38/C38)</f>
        <v>4040.0000000000014</v>
      </c>
      <c r="H38" s="4">
        <f>F38*3600*24/constants!$C$9</f>
        <v>2.3332952425505343E-3</v>
      </c>
      <c r="I38" t="s">
        <v>38</v>
      </c>
      <c r="J38" s="4">
        <f t="shared" ref="J38:J39" si="2">F38*(B38/$C$4)*(1-(C38/B38)*(LOG(B38/C38)+1))/1000</f>
        <v>789.41601292193366</v>
      </c>
      <c r="K38" s="4">
        <f>($C$6*$C$4)/C38/9.8</f>
        <v>1.2661460625911249</v>
      </c>
      <c r="L38" s="4">
        <f>D38/$C$4/3600</f>
        <v>9.3554668066564137E-2</v>
      </c>
      <c r="M38" t="s">
        <v>36</v>
      </c>
      <c r="N38">
        <v>400000</v>
      </c>
      <c r="O38" s="4">
        <f>(N38-J38)/(F38+F37)+L38</f>
        <v>28.527356946348476</v>
      </c>
      <c r="P38" t="s">
        <v>36</v>
      </c>
    </row>
    <row r="39" spans="1:16" x14ac:dyDescent="0.2">
      <c r="A39" t="s">
        <v>194</v>
      </c>
      <c r="B39" s="3">
        <f>EXP(F39/$C$6)*C39</f>
        <v>175335.22123481118</v>
      </c>
      <c r="C39" s="3">
        <f>$C$28</f>
        <v>169954.88591209601</v>
      </c>
      <c r="D39" s="3">
        <f>B39-C39-E39</f>
        <v>5380.2510363575511</v>
      </c>
      <c r="E39" s="3">
        <f t="shared" ref="E39" si="3">(B39-C39)*$C$19</f>
        <v>8.4286357616231225E-2</v>
      </c>
      <c r="F39" s="3">
        <f>deltav!K11*1000</f>
        <v>1870</v>
      </c>
      <c r="G39" s="3">
        <f t="shared" ref="G39" si="4">$C$6*LN(B39/C39)</f>
        <v>1869.999999999995</v>
      </c>
      <c r="H39" s="4">
        <f>F39*3600*24/constants!$C$9</f>
        <v>1.0800153721706681E-3</v>
      </c>
      <c r="I39" t="s">
        <v>38</v>
      </c>
      <c r="J39" s="4">
        <f t="shared" si="2"/>
        <v>158.83700759721714</v>
      </c>
      <c r="K39" s="4">
        <f>($C$6*$C$4)/C39/9.8</f>
        <v>1.3062289960573579</v>
      </c>
      <c r="L39" s="4">
        <f>D39/$C$4/3600</f>
        <v>4.1216607191560575E-2</v>
      </c>
      <c r="M39" t="s">
        <v>36</v>
      </c>
      <c r="N39" s="4">
        <f>J39</f>
        <v>158.83700759721714</v>
      </c>
      <c r="O39" s="4">
        <f>L39</f>
        <v>4.1216607191560575E-2</v>
      </c>
      <c r="P39" t="s">
        <v>36</v>
      </c>
    </row>
    <row r="41" spans="1:16" x14ac:dyDescent="0.2">
      <c r="A41" t="s">
        <v>207</v>
      </c>
      <c r="F41" s="3">
        <f>SUM(F42:F44)</f>
        <v>16040</v>
      </c>
    </row>
    <row r="42" spans="1:16" x14ac:dyDescent="0.2">
      <c r="A42" t="s">
        <v>193</v>
      </c>
      <c r="B42" s="3">
        <f>EXP(F42/$C$6)*C42</f>
        <v>222041.95670398354</v>
      </c>
      <c r="C42" s="3">
        <f>B43</f>
        <v>215228.37883659473</v>
      </c>
      <c r="D42" s="3">
        <f>B42-C42-E42</f>
        <v>6813.4711283797487</v>
      </c>
      <c r="E42" s="3">
        <f>(B42-C42)*$C$19</f>
        <v>0.10673900906365019</v>
      </c>
      <c r="F42" s="3">
        <f>deltav!J12*1000</f>
        <v>1870</v>
      </c>
      <c r="G42" s="3">
        <f t="shared" ref="G42" si="5">$C$6*LN(B42/C42)</f>
        <v>1869.999999999995</v>
      </c>
      <c r="H42" s="4">
        <f>F42*3600*24/constants!$C$9</f>
        <v>1.0800153721706681E-3</v>
      </c>
      <c r="I42" t="s">
        <v>38</v>
      </c>
      <c r="J42" s="4">
        <f>F42*(B42/$C$4)*(1-(C42/B42)*(LOG(B42/C42)+1))/1000</f>
        <v>201.14886053988761</v>
      </c>
      <c r="K42" s="4">
        <f>($C$6*$C$4)/C42/9.8</f>
        <v>1.0314624920747388</v>
      </c>
      <c r="L42" s="4">
        <f>D42/$C$4/3600</f>
        <v>5.2196107804588381E-2</v>
      </c>
      <c r="M42" t="s">
        <v>36</v>
      </c>
      <c r="N42">
        <v>2000</v>
      </c>
      <c r="O42" s="4">
        <f>L42</f>
        <v>5.2196107804588381E-2</v>
      </c>
      <c r="P42" t="s">
        <v>36</v>
      </c>
    </row>
    <row r="43" spans="1:16" x14ac:dyDescent="0.2">
      <c r="A43" t="s">
        <v>205</v>
      </c>
      <c r="B43" s="3">
        <f>EXP(F43/$C$6)*C43</f>
        <v>215228.37883659473</v>
      </c>
      <c r="C43" s="3">
        <f>B44</f>
        <v>184724.65373377563</v>
      </c>
      <c r="D43" s="3">
        <f>B43-C43-E43</f>
        <v>30503.247242661979</v>
      </c>
      <c r="E43" s="3">
        <f>(B43-C43)*$C$19</f>
        <v>0.47786015711488206</v>
      </c>
      <c r="F43" s="3">
        <f>deltav!D11*1000*7</f>
        <v>9170</v>
      </c>
      <c r="G43" s="3">
        <f t="shared" ref="G43" si="6">$C$6*LN(B43/C43)</f>
        <v>9169.9999999999945</v>
      </c>
      <c r="H43" s="4">
        <f>F43*3600*24/constants!$C$9</f>
        <v>5.2961181619278225E-3</v>
      </c>
      <c r="I43" t="s">
        <v>38</v>
      </c>
      <c r="J43" s="4">
        <f t="shared" ref="J43:J44" si="7">F43*(B43/$C$4)*(1-(C43/B43)*(LOG(B43/C43)+1))/1000</f>
        <v>4613.4979518110013</v>
      </c>
      <c r="K43" s="4">
        <f>($C$6*$C$4)/C43/9.8</f>
        <v>1.2017886920494403</v>
      </c>
      <c r="L43" s="4">
        <f>D43/$C$4/3600</f>
        <v>0.23367689558943114</v>
      </c>
      <c r="M43" t="s">
        <v>36</v>
      </c>
      <c r="N43">
        <v>400000</v>
      </c>
      <c r="O43" s="4">
        <f>(N43-J43)/(F43+F42)+L43</f>
        <v>36.047671646331189</v>
      </c>
      <c r="P43" t="s">
        <v>36</v>
      </c>
    </row>
    <row r="44" spans="1:16" x14ac:dyDescent="0.2">
      <c r="A44" t="s">
        <v>196</v>
      </c>
      <c r="B44" s="3">
        <f>EXP(F44/$C$6)*C44</f>
        <v>184724.65373377563</v>
      </c>
      <c r="C44" s="3">
        <f>$C$28</f>
        <v>169954.88591209601</v>
      </c>
      <c r="D44" s="3">
        <f>B44-C44-E44</f>
        <v>14769.536443920082</v>
      </c>
      <c r="E44" s="3">
        <f>(B44-C44)*$C$19</f>
        <v>0.23137775953684675</v>
      </c>
      <c r="F44" s="3">
        <f>deltav!C3*1000*0.5</f>
        <v>5000</v>
      </c>
      <c r="G44" s="3">
        <f t="shared" ref="G44" si="8">$C$6*LN(B44/C44)</f>
        <v>5000.0000000000055</v>
      </c>
      <c r="H44" s="4">
        <f>F44*3600*24/constants!$C$9</f>
        <v>2.8877416368199684E-3</v>
      </c>
      <c r="I44" t="s">
        <v>38</v>
      </c>
      <c r="J44" s="4">
        <f t="shared" si="7"/>
        <v>1188.4852998717045</v>
      </c>
      <c r="K44" s="4">
        <f>($C$6*$C$4)/C44/9.8</f>
        <v>1.3062289960573579</v>
      </c>
      <c r="L44" s="4">
        <f>D44/$C$4/3600</f>
        <v>0.11314531197462832</v>
      </c>
      <c r="M44" t="s">
        <v>36</v>
      </c>
      <c r="N44" s="4">
        <f>J44</f>
        <v>1188.4852998717045</v>
      </c>
      <c r="O44" s="4">
        <f>L44</f>
        <v>0.11314531197462832</v>
      </c>
      <c r="P44" t="s">
        <v>36</v>
      </c>
    </row>
    <row r="45" spans="1:16" x14ac:dyDescent="0.2">
      <c r="B45" s="3"/>
      <c r="C45" s="3"/>
      <c r="D45" s="3"/>
      <c r="E45" s="3"/>
      <c r="F45" s="3"/>
      <c r="G45" s="3"/>
      <c r="H45" s="4"/>
      <c r="J45" s="4"/>
      <c r="K45" s="3"/>
    </row>
    <row r="46" spans="1:16" x14ac:dyDescent="0.2">
      <c r="B46" s="3"/>
      <c r="C46" s="3"/>
      <c r="D46" s="3"/>
      <c r="E46" s="3"/>
      <c r="F46" s="3"/>
      <c r="G46" s="3"/>
      <c r="H46" s="4"/>
      <c r="J46" s="4"/>
      <c r="K46" s="3"/>
    </row>
    <row r="47" spans="1:16" x14ac:dyDescent="0.2">
      <c r="B47" s="3"/>
      <c r="C47" s="3"/>
      <c r="D47" s="3"/>
      <c r="E47" s="3"/>
      <c r="F47" s="3"/>
      <c r="G47" s="3"/>
      <c r="H47" s="4"/>
      <c r="J47" s="4"/>
      <c r="K47" s="3"/>
    </row>
    <row r="48" spans="1:16" x14ac:dyDescent="0.2">
      <c r="B48" s="4"/>
      <c r="C48" s="3"/>
      <c r="D48" s="3"/>
      <c r="E48" s="3"/>
      <c r="F48" s="3"/>
      <c r="G48" s="3"/>
      <c r="H48" s="4"/>
      <c r="J48" s="4"/>
      <c r="K48" s="3"/>
    </row>
    <row r="49" spans="2:12" x14ac:dyDescent="0.2">
      <c r="B49" s="4"/>
      <c r="C49" s="3"/>
      <c r="D49" s="3"/>
      <c r="E49" s="3"/>
      <c r="F49" s="3"/>
      <c r="G49" s="3"/>
      <c r="H49" s="4"/>
      <c r="J49" s="4"/>
      <c r="K49" s="3"/>
    </row>
    <row r="50" spans="2:12" x14ac:dyDescent="0.2">
      <c r="L50" s="4"/>
    </row>
    <row r="52" spans="2:12" x14ac:dyDescent="0.2">
      <c r="B52" s="3"/>
      <c r="C52" s="3"/>
      <c r="D52" s="3"/>
      <c r="E52" s="3"/>
      <c r="F52" s="3"/>
      <c r="G52" s="3"/>
      <c r="H52" s="4"/>
      <c r="J52" s="4"/>
      <c r="K52" s="4"/>
      <c r="L52" s="4"/>
    </row>
    <row r="53" spans="2:12" x14ac:dyDescent="0.2">
      <c r="B53" s="3"/>
      <c r="C53" s="3"/>
      <c r="D53" s="3"/>
      <c r="E53" s="3"/>
      <c r="F53" s="3"/>
      <c r="G53" s="3"/>
      <c r="H53" s="4"/>
      <c r="J53" s="4"/>
      <c r="K53" s="4"/>
      <c r="L53" s="4"/>
    </row>
    <row r="54" spans="2:12" x14ac:dyDescent="0.2">
      <c r="B54" s="3"/>
      <c r="C54" s="3"/>
      <c r="D54" s="3"/>
      <c r="E54" s="3"/>
      <c r="F54" s="3"/>
      <c r="G54" s="3"/>
      <c r="H54" s="4"/>
      <c r="J54" s="4"/>
      <c r="K54" s="4"/>
      <c r="L54" s="4"/>
    </row>
    <row r="55" spans="2:12" x14ac:dyDescent="0.2">
      <c r="B55" s="3"/>
      <c r="C55" s="3"/>
      <c r="D55" s="3"/>
      <c r="E55" s="3"/>
      <c r="F55" s="3"/>
      <c r="G55" s="3"/>
      <c r="H55" s="4"/>
      <c r="J55" s="4"/>
      <c r="K55" s="4"/>
      <c r="L55" s="4"/>
    </row>
    <row r="56" spans="2:12" x14ac:dyDescent="0.2">
      <c r="B56" s="3"/>
      <c r="C56" s="3"/>
      <c r="D56" s="3"/>
      <c r="E56" s="3"/>
      <c r="F56" s="3"/>
      <c r="G56" s="3"/>
      <c r="H56" s="4"/>
      <c r="J56" s="4"/>
      <c r="K56" s="4"/>
      <c r="L56" s="4"/>
    </row>
    <row r="57" spans="2:12" x14ac:dyDescent="0.2">
      <c r="B57" s="3"/>
      <c r="C57" s="3"/>
      <c r="D57" s="3"/>
      <c r="E57" s="3"/>
      <c r="F57" s="3"/>
      <c r="G57" s="3"/>
      <c r="H57" s="4"/>
      <c r="J57" s="4"/>
      <c r="K57" s="4"/>
      <c r="L57" s="4"/>
    </row>
    <row r="58" spans="2:12" x14ac:dyDescent="0.2">
      <c r="B58" s="3"/>
      <c r="C58" s="3"/>
      <c r="E58" s="3"/>
      <c r="F58" s="3"/>
      <c r="G58" s="3"/>
      <c r="H58" s="4"/>
      <c r="J58" s="4"/>
      <c r="K58" s="3"/>
      <c r="L58" s="4"/>
    </row>
    <row r="60" spans="2:12" x14ac:dyDescent="0.2">
      <c r="B60" s="3"/>
      <c r="C60" s="3"/>
      <c r="D60" s="3"/>
      <c r="E60" s="3"/>
      <c r="F60" s="3"/>
      <c r="G60" s="3"/>
      <c r="H60" s="4"/>
      <c r="J60" s="4"/>
      <c r="K60" s="4"/>
      <c r="L60" s="4"/>
    </row>
    <row r="61" spans="2:12" x14ac:dyDescent="0.2">
      <c r="B61" s="3"/>
      <c r="C61" s="3"/>
      <c r="D61" s="3"/>
      <c r="E61" s="3"/>
      <c r="F61" s="3"/>
      <c r="G61" s="3"/>
      <c r="H61" s="4"/>
      <c r="J61" s="4"/>
      <c r="K61" s="4"/>
      <c r="L61" s="4"/>
    </row>
    <row r="62" spans="2:12" x14ac:dyDescent="0.2">
      <c r="C62" s="3"/>
      <c r="E62" s="4"/>
    </row>
    <row r="63" spans="2:12" x14ac:dyDescent="0.2">
      <c r="C63" s="3"/>
      <c r="E63" s="4"/>
      <c r="G63" s="4"/>
    </row>
    <row r="64" spans="2:12" x14ac:dyDescent="0.2">
      <c r="C64" s="3"/>
      <c r="E64" s="4"/>
    </row>
    <row r="65" spans="3:7" x14ac:dyDescent="0.2">
      <c r="C65" s="3"/>
      <c r="E65" s="4"/>
    </row>
    <row r="66" spans="3:7" x14ac:dyDescent="0.2">
      <c r="C66" s="4"/>
      <c r="E66" s="4"/>
      <c r="G66" s="6"/>
    </row>
    <row r="68" spans="3:7" x14ac:dyDescent="0.2">
      <c r="C68" s="3"/>
    </row>
    <row r="69" spans="3:7" x14ac:dyDescent="0.2">
      <c r="C69" s="3"/>
    </row>
    <row r="71" spans="3:7" x14ac:dyDescent="0.2">
      <c r="C71" s="3"/>
    </row>
    <row r="72" spans="3:7" x14ac:dyDescent="0.2">
      <c r="C72" s="3"/>
    </row>
    <row r="73" spans="3:7" x14ac:dyDescent="0.2">
      <c r="C73" s="3"/>
      <c r="E73" s="4"/>
    </row>
    <row r="74" spans="3:7" x14ac:dyDescent="0.2">
      <c r="C74" s="3"/>
      <c r="E74" s="4"/>
    </row>
    <row r="75" spans="3:7" x14ac:dyDescent="0.2">
      <c r="C75" s="3"/>
      <c r="E75" s="4"/>
    </row>
    <row r="76" spans="3:7" x14ac:dyDescent="0.2">
      <c r="C76" s="3"/>
      <c r="E76" s="4"/>
    </row>
    <row r="77" spans="3:7" x14ac:dyDescent="0.2">
      <c r="C77" s="4"/>
      <c r="E7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0A72-FCD9-6846-89AF-16882FB656F4}">
  <dimension ref="A2:F45"/>
  <sheetViews>
    <sheetView zoomScale="99" workbookViewId="0">
      <selection activeCell="A13" sqref="A13:D13"/>
    </sheetView>
  </sheetViews>
  <sheetFormatPr baseColWidth="10" defaultRowHeight="16" x14ac:dyDescent="0.2"/>
  <cols>
    <col min="1" max="1" width="20.1640625" bestFit="1" customWidth="1"/>
    <col min="2" max="2" width="16.6640625" bestFit="1" customWidth="1"/>
    <col min="3" max="3" width="12.33203125" bestFit="1" customWidth="1"/>
    <col min="5" max="5" width="11" bestFit="1" customWidth="1"/>
  </cols>
  <sheetData>
    <row r="2" spans="1:6" x14ac:dyDescent="0.2">
      <c r="A2" t="s">
        <v>0</v>
      </c>
    </row>
    <row r="3" spans="1:6" x14ac:dyDescent="0.2">
      <c r="B3" t="s">
        <v>122</v>
      </c>
      <c r="C3" s="1">
        <f>E3*1016.04691/0.0283168466</f>
        <v>179.54618916474604</v>
      </c>
      <c r="D3" t="s">
        <v>0</v>
      </c>
      <c r="E3" s="1">
        <f>3220/(390*55*30)</f>
        <v>5.0038850038850039E-3</v>
      </c>
      <c r="F3" t="s">
        <v>2</v>
      </c>
    </row>
    <row r="4" spans="1:6" x14ac:dyDescent="0.2">
      <c r="B4" t="s">
        <v>123</v>
      </c>
      <c r="C4" s="14">
        <f>26500/(553358+1497440)*1000</f>
        <v>12.921799221571311</v>
      </c>
      <c r="E4" t="s">
        <v>125</v>
      </c>
    </row>
    <row r="5" spans="1:6" x14ac:dyDescent="0.2">
      <c r="B5" t="s">
        <v>124</v>
      </c>
      <c r="C5" s="15">
        <f>C6</f>
        <v>2.7777777777777775E-3</v>
      </c>
    </row>
    <row r="6" spans="1:6" x14ac:dyDescent="0.2">
      <c r="B6" t="s">
        <v>126</v>
      </c>
      <c r="C6" s="2">
        <f>(500*907.18470008/C33)/(90*907.18470008)</f>
        <v>2.7777777777777775E-3</v>
      </c>
      <c r="D6" t="s">
        <v>0</v>
      </c>
    </row>
    <row r="7" spans="1:6" x14ac:dyDescent="0.2">
      <c r="A7" t="s">
        <v>1</v>
      </c>
      <c r="C7" s="1">
        <v>310</v>
      </c>
    </row>
    <row r="8" spans="1:6" x14ac:dyDescent="0.2">
      <c r="A8" t="s">
        <v>3</v>
      </c>
      <c r="C8" s="1">
        <v>2000</v>
      </c>
      <c r="D8" t="s">
        <v>4</v>
      </c>
    </row>
    <row r="9" spans="1:6" x14ac:dyDescent="0.2">
      <c r="A9" t="s">
        <v>5</v>
      </c>
      <c r="C9">
        <v>149597870700</v>
      </c>
      <c r="D9" t="s">
        <v>6</v>
      </c>
    </row>
    <row r="11" spans="1:6" x14ac:dyDescent="0.2">
      <c r="A11" t="s">
        <v>52</v>
      </c>
    </row>
    <row r="12" spans="1:6" x14ac:dyDescent="0.2">
      <c r="A12" t="s">
        <v>171</v>
      </c>
      <c r="B12" t="s">
        <v>172</v>
      </c>
      <c r="C12">
        <v>63000</v>
      </c>
      <c r="D12" t="s">
        <v>8</v>
      </c>
    </row>
    <row r="13" spans="1:6" x14ac:dyDescent="0.2">
      <c r="A13" t="s">
        <v>212</v>
      </c>
      <c r="B13" t="s">
        <v>172</v>
      </c>
      <c r="C13">
        <v>396890</v>
      </c>
      <c r="D13" t="s">
        <v>8</v>
      </c>
    </row>
    <row r="14" spans="1:6" x14ac:dyDescent="0.2">
      <c r="A14" t="s">
        <v>51</v>
      </c>
      <c r="C14">
        <f>1046000*1016.4</f>
        <v>1063154400</v>
      </c>
      <c r="D14" t="s">
        <v>8</v>
      </c>
    </row>
    <row r="15" spans="1:6" x14ac:dyDescent="0.2">
      <c r="A15" t="s">
        <v>53</v>
      </c>
      <c r="C15">
        <v>2970000</v>
      </c>
      <c r="D15" t="s">
        <v>8</v>
      </c>
    </row>
    <row r="17" spans="1:5" x14ac:dyDescent="0.2">
      <c r="A17" t="s">
        <v>59</v>
      </c>
      <c r="C17">
        <f>226963/5479</f>
        <v>41.424164993611974</v>
      </c>
      <c r="D17" t="s">
        <v>61</v>
      </c>
    </row>
    <row r="19" spans="1:5" x14ac:dyDescent="0.2">
      <c r="A19" t="s">
        <v>60</v>
      </c>
      <c r="C19" s="2">
        <v>1100</v>
      </c>
      <c r="D19" t="s">
        <v>0</v>
      </c>
    </row>
    <row r="21" spans="1:5" x14ac:dyDescent="0.2">
      <c r="A21" t="s">
        <v>62</v>
      </c>
      <c r="C21">
        <f>17300/114</f>
        <v>151.75438596491227</v>
      </c>
      <c r="E21" s="6" t="s">
        <v>63</v>
      </c>
    </row>
    <row r="22" spans="1:5" x14ac:dyDescent="0.2">
      <c r="A22" t="s">
        <v>82</v>
      </c>
      <c r="C22">
        <f>100/3</f>
        <v>33.333333333333336</v>
      </c>
      <c r="D22" t="s">
        <v>83</v>
      </c>
      <c r="E22" t="s">
        <v>90</v>
      </c>
    </row>
    <row r="23" spans="1:5" x14ac:dyDescent="0.2">
      <c r="A23" t="s">
        <v>116</v>
      </c>
      <c r="C23">
        <f>4661/6</f>
        <v>776.83333333333337</v>
      </c>
      <c r="D23" t="s">
        <v>117</v>
      </c>
    </row>
    <row r="25" spans="1:5" x14ac:dyDescent="0.2">
      <c r="A25" t="s">
        <v>57</v>
      </c>
    </row>
    <row r="26" spans="1:5" x14ac:dyDescent="0.2">
      <c r="B26" t="s">
        <v>103</v>
      </c>
      <c r="C26">
        <v>999.8</v>
      </c>
      <c r="D26" t="s">
        <v>0</v>
      </c>
    </row>
    <row r="27" spans="1:5" x14ac:dyDescent="0.2">
      <c r="B27" t="s">
        <v>182</v>
      </c>
      <c r="C27">
        <v>18.015000000000001</v>
      </c>
      <c r="D27" t="s">
        <v>183</v>
      </c>
    </row>
    <row r="28" spans="1:5" x14ac:dyDescent="0.2">
      <c r="B28" t="s">
        <v>106</v>
      </c>
      <c r="C28">
        <f>333.55*1000</f>
        <v>333550</v>
      </c>
      <c r="D28" t="s">
        <v>107</v>
      </c>
    </row>
    <row r="29" spans="1:5" x14ac:dyDescent="0.2">
      <c r="B29" t="s">
        <v>108</v>
      </c>
      <c r="C29">
        <f>4186</f>
        <v>4186</v>
      </c>
      <c r="D29" t="s">
        <v>107</v>
      </c>
    </row>
    <row r="30" spans="1:5" x14ac:dyDescent="0.2">
      <c r="A30" t="s">
        <v>104</v>
      </c>
    </row>
    <row r="31" spans="1:5" x14ac:dyDescent="0.2">
      <c r="B31" t="s">
        <v>103</v>
      </c>
      <c r="C31">
        <v>916.7</v>
      </c>
      <c r="D31" t="s">
        <v>0</v>
      </c>
    </row>
    <row r="32" spans="1:5" x14ac:dyDescent="0.2">
      <c r="A32" t="s">
        <v>127</v>
      </c>
    </row>
    <row r="33" spans="1:6" x14ac:dyDescent="0.2">
      <c r="B33" t="s">
        <v>103</v>
      </c>
      <c r="C33">
        <v>2000</v>
      </c>
      <c r="D33" t="s">
        <v>0</v>
      </c>
    </row>
    <row r="34" spans="1:6" x14ac:dyDescent="0.2">
      <c r="A34" t="s">
        <v>155</v>
      </c>
      <c r="B34" t="s">
        <v>103</v>
      </c>
      <c r="C34">
        <v>8200</v>
      </c>
      <c r="D34" t="s">
        <v>0</v>
      </c>
    </row>
    <row r="35" spans="1:6" x14ac:dyDescent="0.2">
      <c r="B35" t="s">
        <v>158</v>
      </c>
      <c r="C35">
        <v>2400</v>
      </c>
      <c r="D35" t="s">
        <v>156</v>
      </c>
      <c r="E35" s="3">
        <f>1000000*C35</f>
        <v>2400000000</v>
      </c>
      <c r="F35" t="s">
        <v>157</v>
      </c>
    </row>
    <row r="37" spans="1:6" x14ac:dyDescent="0.2">
      <c r="A37" t="s">
        <v>161</v>
      </c>
      <c r="C37">
        <v>40270</v>
      </c>
      <c r="D37" t="s">
        <v>162</v>
      </c>
    </row>
    <row r="38" spans="1:6" x14ac:dyDescent="0.2">
      <c r="C38">
        <f>C37*0.2777778</f>
        <v>11186.112006000001</v>
      </c>
      <c r="D38" t="s">
        <v>163</v>
      </c>
    </row>
    <row r="40" spans="1:6" x14ac:dyDescent="0.2">
      <c r="A40" t="s">
        <v>176</v>
      </c>
      <c r="B40" t="s">
        <v>177</v>
      </c>
      <c r="C40">
        <f>74.3/7</f>
        <v>10.614285714285714</v>
      </c>
      <c r="D40" t="s">
        <v>178</v>
      </c>
    </row>
    <row r="41" spans="1:6" x14ac:dyDescent="0.2">
      <c r="B41" t="s">
        <v>179</v>
      </c>
      <c r="C41">
        <f>2.159*3.5*25.14/188</f>
        <v>1.0104809042553191</v>
      </c>
      <c r="D41" t="s">
        <v>178</v>
      </c>
    </row>
    <row r="43" spans="1:6" x14ac:dyDescent="0.2">
      <c r="A43" t="s">
        <v>180</v>
      </c>
      <c r="B43" t="s">
        <v>181</v>
      </c>
      <c r="C43">
        <f>C26/C27*C44</f>
        <v>499.48376353039134</v>
      </c>
      <c r="D43" t="s">
        <v>0</v>
      </c>
    </row>
    <row r="44" spans="1:6" x14ac:dyDescent="0.2">
      <c r="B44" t="s">
        <v>182</v>
      </c>
      <c r="C44">
        <v>9</v>
      </c>
      <c r="D44" t="s">
        <v>183</v>
      </c>
    </row>
    <row r="45" spans="1:6" x14ac:dyDescent="0.2">
      <c r="A45" t="s">
        <v>184</v>
      </c>
      <c r="B45" t="s">
        <v>103</v>
      </c>
      <c r="C45">
        <f>C43*0.1+C34*0.1+C26*0.8</f>
        <v>1669.7883763530392</v>
      </c>
      <c r="D45" t="s">
        <v>0</v>
      </c>
    </row>
  </sheetData>
  <hyperlinks>
    <hyperlink ref="E21" r:id="rId1" xr:uid="{C2539AE1-F1A8-074A-A25B-2167B3DFA4F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AD34-872E-104D-BF66-89581E991D82}">
  <dimension ref="A1:L13"/>
  <sheetViews>
    <sheetView workbookViewId="0">
      <selection activeCell="D12" sqref="D12"/>
    </sheetView>
  </sheetViews>
  <sheetFormatPr baseColWidth="10" defaultRowHeight="16" x14ac:dyDescent="0.2"/>
  <cols>
    <col min="1" max="1" width="18.83203125" bestFit="1" customWidth="1"/>
    <col min="3" max="3" width="13.33203125" bestFit="1" customWidth="1"/>
  </cols>
  <sheetData>
    <row r="1" spans="1:12" x14ac:dyDescent="0.2">
      <c r="A1" t="s">
        <v>185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191</v>
      </c>
      <c r="I1" t="s">
        <v>192</v>
      </c>
      <c r="J1" t="s">
        <v>193</v>
      </c>
      <c r="K1" t="s">
        <v>194</v>
      </c>
      <c r="L1" t="s">
        <v>173</v>
      </c>
    </row>
    <row r="2" spans="1:12" x14ac:dyDescent="0.2">
      <c r="A2" t="s">
        <v>195</v>
      </c>
    </row>
    <row r="3" spans="1:12" x14ac:dyDescent="0.2">
      <c r="A3" t="s">
        <v>196</v>
      </c>
      <c r="C3">
        <v>10</v>
      </c>
      <c r="D3">
        <v>10</v>
      </c>
    </row>
    <row r="4" spans="1:12" x14ac:dyDescent="0.2">
      <c r="A4" t="s">
        <v>197</v>
      </c>
      <c r="B4" t="s">
        <v>186</v>
      </c>
      <c r="D4" s="30">
        <v>4.24</v>
      </c>
      <c r="E4" s="30">
        <v>4.33</v>
      </c>
      <c r="F4" s="30">
        <v>3.77</v>
      </c>
      <c r="G4" s="30">
        <v>3.43</v>
      </c>
      <c r="H4" s="30">
        <v>3.97</v>
      </c>
      <c r="I4" s="30">
        <v>3.97</v>
      </c>
      <c r="J4" s="30">
        <v>4.04</v>
      </c>
      <c r="K4" s="30">
        <v>5.93</v>
      </c>
      <c r="L4" s="30">
        <v>3.22</v>
      </c>
    </row>
    <row r="5" spans="1:12" x14ac:dyDescent="0.2">
      <c r="A5" t="s">
        <v>198</v>
      </c>
      <c r="B5" t="s">
        <v>187</v>
      </c>
      <c r="C5">
        <v>4.24</v>
      </c>
      <c r="E5" s="30">
        <v>3.9</v>
      </c>
      <c r="F5" s="30">
        <v>3.77</v>
      </c>
      <c r="G5" s="30">
        <v>3.43</v>
      </c>
      <c r="H5" s="30">
        <v>3.99</v>
      </c>
      <c r="I5" s="30">
        <v>3.99</v>
      </c>
      <c r="J5" s="30">
        <v>4.04</v>
      </c>
      <c r="K5" s="30">
        <v>5.93</v>
      </c>
      <c r="L5" s="30">
        <v>3.22</v>
      </c>
    </row>
    <row r="6" spans="1:12" x14ac:dyDescent="0.2">
      <c r="A6" t="s">
        <v>188</v>
      </c>
      <c r="B6" t="s">
        <v>188</v>
      </c>
      <c r="C6" s="30">
        <v>2.06</v>
      </c>
      <c r="D6" s="30">
        <v>1.63</v>
      </c>
      <c r="E6" s="30"/>
      <c r="F6" s="30">
        <v>1.38</v>
      </c>
      <c r="G6" s="30">
        <v>1.47</v>
      </c>
      <c r="H6" s="30">
        <v>1.71</v>
      </c>
      <c r="I6" s="30">
        <v>1.71</v>
      </c>
      <c r="J6" s="30">
        <v>2.0499999999999998</v>
      </c>
      <c r="K6" s="30">
        <v>3.92</v>
      </c>
      <c r="L6" s="30">
        <v>1.3</v>
      </c>
    </row>
    <row r="7" spans="1:12" x14ac:dyDescent="0.2">
      <c r="A7" t="s">
        <v>199</v>
      </c>
      <c r="B7" t="s">
        <v>189</v>
      </c>
      <c r="C7" s="30">
        <v>0.77</v>
      </c>
      <c r="D7" s="30">
        <v>0.77</v>
      </c>
      <c r="E7" s="30">
        <v>1.38</v>
      </c>
      <c r="F7" s="30"/>
      <c r="G7" s="30">
        <v>0.14000000000000001</v>
      </c>
      <c r="H7" s="30">
        <v>0.33</v>
      </c>
      <c r="I7" s="30">
        <v>0.33</v>
      </c>
      <c r="J7" s="30">
        <v>0.64</v>
      </c>
      <c r="K7" s="30">
        <v>2.52</v>
      </c>
      <c r="L7" s="30">
        <v>0.14000000000000001</v>
      </c>
    </row>
    <row r="8" spans="1:12" x14ac:dyDescent="0.2">
      <c r="A8" t="s">
        <v>200</v>
      </c>
      <c r="B8" t="s">
        <v>190</v>
      </c>
      <c r="C8" s="30">
        <v>0.33</v>
      </c>
      <c r="D8" s="30">
        <v>0.33</v>
      </c>
      <c r="E8" s="30">
        <v>1.47</v>
      </c>
      <c r="F8" s="30">
        <v>0.14000000000000001</v>
      </c>
      <c r="G8" s="30"/>
      <c r="H8" s="30">
        <v>0.34</v>
      </c>
      <c r="I8" s="30">
        <v>0.34</v>
      </c>
      <c r="J8" s="30">
        <v>0.64</v>
      </c>
      <c r="K8" s="30">
        <v>2.52</v>
      </c>
      <c r="L8" s="30">
        <v>0.14000000000000001</v>
      </c>
    </row>
    <row r="9" spans="1:12" x14ac:dyDescent="0.2">
      <c r="A9" t="s">
        <v>201</v>
      </c>
      <c r="B9" t="s">
        <v>191</v>
      </c>
      <c r="C9" s="30">
        <v>0.84</v>
      </c>
      <c r="D9" s="30">
        <v>0.98</v>
      </c>
      <c r="E9" s="30">
        <v>1.71</v>
      </c>
      <c r="F9" s="30">
        <v>0.33</v>
      </c>
      <c r="G9" s="30">
        <v>0.34</v>
      </c>
      <c r="H9" s="30"/>
      <c r="J9" s="30">
        <v>0.98</v>
      </c>
      <c r="K9" s="30">
        <v>2.58</v>
      </c>
      <c r="L9" s="30">
        <v>0.43</v>
      </c>
    </row>
    <row r="10" spans="1:12" x14ac:dyDescent="0.2">
      <c r="A10" t="s">
        <v>202</v>
      </c>
      <c r="B10" t="s">
        <v>192</v>
      </c>
      <c r="C10" s="30">
        <v>0.84</v>
      </c>
      <c r="D10" s="30">
        <v>0.98</v>
      </c>
      <c r="E10" s="30">
        <v>1.71</v>
      </c>
      <c r="F10" s="30">
        <v>0.33</v>
      </c>
      <c r="G10" s="30">
        <v>0.34</v>
      </c>
      <c r="H10" s="30"/>
      <c r="J10" s="30">
        <v>0.98</v>
      </c>
      <c r="K10" s="30">
        <v>2.58</v>
      </c>
      <c r="L10" s="30">
        <v>0.43</v>
      </c>
    </row>
    <row r="11" spans="1:12" x14ac:dyDescent="0.2">
      <c r="A11" t="s">
        <v>203</v>
      </c>
      <c r="B11" t="s">
        <v>193</v>
      </c>
      <c r="C11" s="30">
        <v>1.31</v>
      </c>
      <c r="D11" s="30">
        <v>1.31</v>
      </c>
      <c r="E11" s="30">
        <v>2.0499999999999998</v>
      </c>
      <c r="F11" s="30">
        <v>0.64</v>
      </c>
      <c r="G11" s="30">
        <v>0.65</v>
      </c>
      <c r="H11" s="30">
        <v>0.98</v>
      </c>
      <c r="I11" s="30">
        <v>0.98</v>
      </c>
      <c r="K11" s="30">
        <v>1.87</v>
      </c>
      <c r="L11" s="30">
        <v>1.4</v>
      </c>
    </row>
    <row r="12" spans="1:12" x14ac:dyDescent="0.2">
      <c r="A12" t="s">
        <v>194</v>
      </c>
      <c r="B12" t="s">
        <v>194</v>
      </c>
      <c r="C12" s="30">
        <v>2.74</v>
      </c>
      <c r="D12" s="30">
        <v>2.74</v>
      </c>
      <c r="E12" s="30">
        <v>3.92</v>
      </c>
      <c r="F12" s="30">
        <v>2.52</v>
      </c>
      <c r="G12" s="30">
        <v>2.5299999999999998</v>
      </c>
      <c r="H12" s="30">
        <v>2.58</v>
      </c>
      <c r="I12" s="30">
        <v>2.58</v>
      </c>
      <c r="J12" s="30">
        <v>1.87</v>
      </c>
      <c r="L12" s="30">
        <v>2.8</v>
      </c>
    </row>
    <row r="13" spans="1:12" x14ac:dyDescent="0.2">
      <c r="A13" t="s">
        <v>161</v>
      </c>
      <c r="B13" t="s">
        <v>173</v>
      </c>
      <c r="C13" s="30">
        <v>0</v>
      </c>
      <c r="D13" s="30">
        <v>0</v>
      </c>
      <c r="E13" s="30">
        <v>1.3</v>
      </c>
      <c r="F13" s="30">
        <v>0.14000000000000001</v>
      </c>
      <c r="G13" s="30">
        <v>0.14000000000000001</v>
      </c>
      <c r="H13" s="30">
        <v>0.43</v>
      </c>
      <c r="I13" s="30">
        <v>0.43</v>
      </c>
      <c r="J13" s="30">
        <v>1.4</v>
      </c>
      <c r="K13" s="30">
        <v>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design</vt:lpstr>
      <vt:lpstr>structure</vt:lpstr>
      <vt:lpstr>accomodation</vt:lpstr>
      <vt:lpstr>performance</vt:lpstr>
      <vt:lpstr>constants</vt:lpstr>
      <vt:lpstr>deltav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dcterms:created xsi:type="dcterms:W3CDTF">2020-10-08T20:50:23Z</dcterms:created>
  <dcterms:modified xsi:type="dcterms:W3CDTF">2021-02-20T21:02:36Z</dcterms:modified>
</cp:coreProperties>
</file>